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user\Desktop\"/>
    </mc:Choice>
  </mc:AlternateContent>
  <xr:revisionPtr revIDLastSave="0" documentId="8_{E08C335B-4404-435F-98D5-64D104F7B633}" xr6:coauthVersionLast="47" xr6:coauthVersionMax="47" xr10:uidLastSave="{00000000-0000-0000-0000-000000000000}"/>
  <bookViews>
    <workbookView xWindow="-120" yWindow="-120" windowWidth="29040" windowHeight="15720" xr2:uid="{00000000-000D-0000-FFFF-FFFF00000000}"/>
  </bookViews>
  <sheets>
    <sheet name="декабрь" sheetId="1" r:id="rId1"/>
  </sheets>
  <definedNames>
    <definedName name="_xlnm.Print_Titles" localSheetId="0">декабрь!$7:$8</definedName>
    <definedName name="_xlnm.Print_Area" localSheetId="0">декабрь!$A$1:$K$2261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53" i="1" l="1"/>
  <c r="F2253" i="1"/>
  <c r="D2253" i="1"/>
  <c r="H2252" i="1"/>
  <c r="H2246" i="1" s="1"/>
  <c r="F2252" i="1"/>
  <c r="F2246" i="1" s="1"/>
  <c r="H2251" i="1"/>
  <c r="F2251" i="1"/>
  <c r="F2245" i="1" s="1"/>
  <c r="D2251" i="1"/>
  <c r="H2250" i="1"/>
  <c r="F2250" i="1"/>
  <c r="D2250" i="1"/>
  <c r="D2244" i="1" s="1"/>
  <c r="H2249" i="1"/>
  <c r="H2243" i="1" s="1"/>
  <c r="F2249" i="1"/>
  <c r="F2243" i="1" s="1"/>
  <c r="D2249" i="1"/>
  <c r="D2246" i="1"/>
  <c r="H2245" i="1"/>
  <c r="F2244" i="1"/>
  <c r="D2243" i="1"/>
  <c r="H2235" i="1"/>
  <c r="F2235" i="1"/>
  <c r="D2235" i="1"/>
  <c r="H2229" i="1"/>
  <c r="F2229" i="1"/>
  <c r="D2229" i="1"/>
  <c r="H2223" i="1"/>
  <c r="F2223" i="1"/>
  <c r="D2223" i="1"/>
  <c r="H2222" i="1"/>
  <c r="H2210" i="1" s="1"/>
  <c r="F2222" i="1"/>
  <c r="D2222" i="1"/>
  <c r="H2221" i="1"/>
  <c r="H2209" i="1" s="1"/>
  <c r="F2221" i="1"/>
  <c r="F2209" i="1" s="1"/>
  <c r="D2221" i="1"/>
  <c r="H2220" i="1"/>
  <c r="H2208" i="1" s="1"/>
  <c r="F2220" i="1"/>
  <c r="F2208" i="1" s="1"/>
  <c r="D2220" i="1"/>
  <c r="H2219" i="1"/>
  <c r="F2219" i="1"/>
  <c r="D2219" i="1"/>
  <c r="D2207" i="1" s="1"/>
  <c r="H2211" i="1"/>
  <c r="F2211" i="1"/>
  <c r="D2211" i="1"/>
  <c r="F2210" i="1"/>
  <c r="D2210" i="1"/>
  <c r="D2209" i="1"/>
  <c r="D2208" i="1"/>
  <c r="H2207" i="1"/>
  <c r="F2207" i="1"/>
  <c r="H2199" i="1"/>
  <c r="F2199" i="1"/>
  <c r="D2199" i="1"/>
  <c r="H2196" i="1"/>
  <c r="F2196" i="1"/>
  <c r="F2193" i="1" s="1"/>
  <c r="D2196" i="1"/>
  <c r="H2193" i="1"/>
  <c r="H2192" i="1"/>
  <c r="F2192" i="1"/>
  <c r="D2192" i="1"/>
  <c r="H2191" i="1"/>
  <c r="F2191" i="1"/>
  <c r="D2191" i="1"/>
  <c r="H2190" i="1"/>
  <c r="H2189" i="1"/>
  <c r="F2189" i="1"/>
  <c r="D2189" i="1"/>
  <c r="H2181" i="1"/>
  <c r="F2181" i="1"/>
  <c r="D2181" i="1"/>
  <c r="H2180" i="1"/>
  <c r="F2180" i="1"/>
  <c r="D2180" i="1"/>
  <c r="D2174" i="1" s="1"/>
  <c r="H2179" i="1"/>
  <c r="H2173" i="1" s="1"/>
  <c r="F2179" i="1"/>
  <c r="D2179" i="1"/>
  <c r="H2178" i="1"/>
  <c r="H2172" i="1" s="1"/>
  <c r="F2178" i="1"/>
  <c r="D2178" i="1"/>
  <c r="H2177" i="1"/>
  <c r="F2177" i="1"/>
  <c r="D2177" i="1"/>
  <c r="H2174" i="1"/>
  <c r="F2173" i="1"/>
  <c r="H2163" i="1"/>
  <c r="F2163" i="1"/>
  <c r="D2163" i="1"/>
  <c r="H2157" i="1"/>
  <c r="F2157" i="1"/>
  <c r="D2157" i="1"/>
  <c r="D2155" i="1"/>
  <c r="D2154" i="1"/>
  <c r="D2118" i="1" s="1"/>
  <c r="D2112" i="1" s="1"/>
  <c r="H2151" i="1"/>
  <c r="F2151" i="1"/>
  <c r="H2149" i="1"/>
  <c r="H2119" i="1" s="1"/>
  <c r="F2149" i="1"/>
  <c r="H2148" i="1"/>
  <c r="H2118" i="1" s="1"/>
  <c r="H2112" i="1" s="1"/>
  <c r="F2148" i="1"/>
  <c r="D2145" i="1"/>
  <c r="D2143" i="1"/>
  <c r="D2142" i="1"/>
  <c r="H2139" i="1"/>
  <c r="F2139" i="1"/>
  <c r="H2133" i="1"/>
  <c r="F2133" i="1"/>
  <c r="D2133" i="1"/>
  <c r="H2127" i="1"/>
  <c r="F2127" i="1"/>
  <c r="D2127" i="1"/>
  <c r="H2121" i="1"/>
  <c r="F2121" i="1"/>
  <c r="D2121" i="1"/>
  <c r="H2120" i="1"/>
  <c r="F2120" i="1"/>
  <c r="F2114" i="1" s="1"/>
  <c r="D2120" i="1"/>
  <c r="D2114" i="1" s="1"/>
  <c r="D2119" i="1"/>
  <c r="D2113" i="1" s="1"/>
  <c r="F2118" i="1"/>
  <c r="F2112" i="1" s="1"/>
  <c r="H2117" i="1"/>
  <c r="H2111" i="1" s="1"/>
  <c r="F2117" i="1"/>
  <c r="D2117" i="1"/>
  <c r="H2114" i="1"/>
  <c r="H2113" i="1"/>
  <c r="F2111" i="1"/>
  <c r="H2103" i="1"/>
  <c r="F2103" i="1"/>
  <c r="D2103" i="1"/>
  <c r="H2097" i="1"/>
  <c r="F2097" i="1"/>
  <c r="D2097" i="1"/>
  <c r="H2091" i="1"/>
  <c r="F2091" i="1"/>
  <c r="D2091" i="1"/>
  <c r="H2085" i="1"/>
  <c r="F2085" i="1"/>
  <c r="D2085" i="1"/>
  <c r="H2079" i="1"/>
  <c r="F2079" i="1"/>
  <c r="D2079" i="1"/>
  <c r="H2078" i="1"/>
  <c r="F2078" i="1"/>
  <c r="D2078" i="1"/>
  <c r="H2077" i="1"/>
  <c r="H2059" i="1" s="1"/>
  <c r="F2077" i="1"/>
  <c r="F2059" i="1" s="1"/>
  <c r="D2077" i="1"/>
  <c r="H2076" i="1"/>
  <c r="F2076" i="1"/>
  <c r="D2076" i="1"/>
  <c r="D2058" i="1" s="1"/>
  <c r="H2075" i="1"/>
  <c r="F2075" i="1"/>
  <c r="F2057" i="1" s="1"/>
  <c r="D2075" i="1"/>
  <c r="D2057" i="1" s="1"/>
  <c r="H2067" i="1"/>
  <c r="F2067" i="1"/>
  <c r="D2067" i="1"/>
  <c r="H2061" i="1"/>
  <c r="F2061" i="1"/>
  <c r="D2061" i="1"/>
  <c r="F2060" i="1"/>
  <c r="D2060" i="1"/>
  <c r="D2059" i="1"/>
  <c r="H2058" i="1"/>
  <c r="F2058" i="1"/>
  <c r="H2057" i="1"/>
  <c r="H2049" i="1"/>
  <c r="F2049" i="1"/>
  <c r="D2049" i="1"/>
  <c r="D2047" i="1"/>
  <c r="D2043" i="1" s="1"/>
  <c r="H2043" i="1"/>
  <c r="F2043" i="1"/>
  <c r="D2041" i="1"/>
  <c r="D2037" i="1" s="1"/>
  <c r="H2037" i="1"/>
  <c r="F2037" i="1"/>
  <c r="D2035" i="1"/>
  <c r="D2031" i="1" s="1"/>
  <c r="H2031" i="1"/>
  <c r="F2031" i="1"/>
  <c r="H2025" i="1"/>
  <c r="F2025" i="1"/>
  <c r="D2025" i="1"/>
  <c r="D2023" i="1"/>
  <c r="D2019" i="1" s="1"/>
  <c r="H2019" i="1"/>
  <c r="F2019" i="1"/>
  <c r="D2017" i="1"/>
  <c r="D2016" i="1"/>
  <c r="D2015" i="1"/>
  <c r="D2009" i="1" s="1"/>
  <c r="H2013" i="1"/>
  <c r="F2013" i="1"/>
  <c r="H2012" i="1"/>
  <c r="F2012" i="1"/>
  <c r="D2012" i="1"/>
  <c r="H2011" i="1"/>
  <c r="F2011" i="1"/>
  <c r="D2011" i="1"/>
  <c r="H2010" i="1"/>
  <c r="F2010" i="1"/>
  <c r="D2010" i="1"/>
  <c r="H2009" i="1"/>
  <c r="F2009" i="1"/>
  <c r="H2001" i="1"/>
  <c r="F2001" i="1"/>
  <c r="D2001" i="1"/>
  <c r="H1995" i="1"/>
  <c r="F1995" i="1"/>
  <c r="D1995" i="1"/>
  <c r="H1989" i="1"/>
  <c r="F1989" i="1"/>
  <c r="D1989" i="1"/>
  <c r="H1987" i="1"/>
  <c r="H1983" i="1" s="1"/>
  <c r="F1987" i="1"/>
  <c r="D1983" i="1"/>
  <c r="D1981" i="1"/>
  <c r="D1977" i="1" s="1"/>
  <c r="H1977" i="1"/>
  <c r="F1977" i="1"/>
  <c r="H1976" i="1"/>
  <c r="F1976" i="1"/>
  <c r="D1976" i="1"/>
  <c r="D1975" i="1"/>
  <c r="H1974" i="1"/>
  <c r="F1974" i="1"/>
  <c r="D1974" i="1"/>
  <c r="H1973" i="1"/>
  <c r="F1973" i="1"/>
  <c r="D1973" i="1"/>
  <c r="D1969" i="1"/>
  <c r="D1965" i="1" s="1"/>
  <c r="H1965" i="1"/>
  <c r="F1965" i="1"/>
  <c r="D1963" i="1"/>
  <c r="D1959" i="1" s="1"/>
  <c r="H1959" i="1"/>
  <c r="F1959" i="1"/>
  <c r="D1957" i="1"/>
  <c r="D1953" i="1" s="1"/>
  <c r="H1953" i="1"/>
  <c r="F1953" i="1"/>
  <c r="D1951" i="1"/>
  <c r="D1947" i="1" s="1"/>
  <c r="H1947" i="1"/>
  <c r="F1947" i="1"/>
  <c r="D1945" i="1"/>
  <c r="D1941" i="1" s="1"/>
  <c r="H1941" i="1"/>
  <c r="F1941" i="1"/>
  <c r="D1939" i="1"/>
  <c r="D1935" i="1" s="1"/>
  <c r="H1935" i="1"/>
  <c r="F1935" i="1"/>
  <c r="D1933" i="1"/>
  <c r="D1929" i="1" s="1"/>
  <c r="H1929" i="1"/>
  <c r="F1929" i="1"/>
  <c r="D1927" i="1"/>
  <c r="D1923" i="1" s="1"/>
  <c r="H1923" i="1"/>
  <c r="F1923" i="1"/>
  <c r="D1921" i="1"/>
  <c r="D1917" i="1" s="1"/>
  <c r="H1917" i="1"/>
  <c r="F1917" i="1"/>
  <c r="D1915" i="1"/>
  <c r="D1911" i="1" s="1"/>
  <c r="H1911" i="1"/>
  <c r="F1911" i="1"/>
  <c r="D1909" i="1"/>
  <c r="D1905" i="1" s="1"/>
  <c r="H1905" i="1"/>
  <c r="F1905" i="1"/>
  <c r="D1903" i="1"/>
  <c r="D1899" i="1" s="1"/>
  <c r="H1899" i="1"/>
  <c r="F1899" i="1"/>
  <c r="D1897" i="1"/>
  <c r="D1893" i="1" s="1"/>
  <c r="H1893" i="1"/>
  <c r="F1893" i="1"/>
  <c r="D1891" i="1"/>
  <c r="D1887" i="1" s="1"/>
  <c r="H1887" i="1"/>
  <c r="F1887" i="1"/>
  <c r="D1885" i="1"/>
  <c r="D1881" i="1" s="1"/>
  <c r="H1881" i="1"/>
  <c r="F1881" i="1"/>
  <c r="D1879" i="1"/>
  <c r="D1875" i="1" s="1"/>
  <c r="H1875" i="1"/>
  <c r="F1875" i="1"/>
  <c r="D1873" i="1"/>
  <c r="D1869" i="1" s="1"/>
  <c r="H1869" i="1"/>
  <c r="F1869" i="1"/>
  <c r="H1863" i="1"/>
  <c r="F1863" i="1"/>
  <c r="D1863" i="1"/>
  <c r="H1862" i="1"/>
  <c r="F1862" i="1"/>
  <c r="D1862" i="1"/>
  <c r="H1861" i="1"/>
  <c r="F1861" i="1"/>
  <c r="H1860" i="1"/>
  <c r="F1860" i="1"/>
  <c r="D1860" i="1"/>
  <c r="H1859" i="1"/>
  <c r="F1859" i="1"/>
  <c r="F1857" i="1" s="1"/>
  <c r="D1859" i="1"/>
  <c r="H1851" i="1"/>
  <c r="F1851" i="1"/>
  <c r="D1851" i="1"/>
  <c r="D1849" i="1"/>
  <c r="H1845" i="1"/>
  <c r="F1845" i="1"/>
  <c r="D1845" i="1"/>
  <c r="D1843" i="1"/>
  <c r="H1839" i="1"/>
  <c r="F1839" i="1"/>
  <c r="D1839" i="1"/>
  <c r="D1837" i="1"/>
  <c r="H1833" i="1"/>
  <c r="F1833" i="1"/>
  <c r="F1658" i="1" s="1"/>
  <c r="D1833" i="1"/>
  <c r="D1831" i="1"/>
  <c r="H1827" i="1"/>
  <c r="F1827" i="1"/>
  <c r="D1827" i="1"/>
  <c r="D1825" i="1"/>
  <c r="H1821" i="1"/>
  <c r="F1821" i="1"/>
  <c r="D1821" i="1"/>
  <c r="D1819" i="1"/>
  <c r="H1815" i="1"/>
  <c r="F1815" i="1"/>
  <c r="D1815" i="1"/>
  <c r="D1813" i="1"/>
  <c r="H1809" i="1"/>
  <c r="F1809" i="1"/>
  <c r="D1809" i="1"/>
  <c r="D1807" i="1"/>
  <c r="H1803" i="1"/>
  <c r="F1803" i="1"/>
  <c r="D1803" i="1"/>
  <c r="D1801" i="1"/>
  <c r="H1797" i="1"/>
  <c r="F1797" i="1"/>
  <c r="D1797" i="1"/>
  <c r="D1795" i="1"/>
  <c r="H1791" i="1"/>
  <c r="F1791" i="1"/>
  <c r="D1791" i="1"/>
  <c r="D1789" i="1"/>
  <c r="H1785" i="1"/>
  <c r="F1785" i="1"/>
  <c r="D1785" i="1"/>
  <c r="D1783" i="1"/>
  <c r="H1779" i="1"/>
  <c r="F1779" i="1"/>
  <c r="D1779" i="1"/>
  <c r="D1777" i="1"/>
  <c r="H1773" i="1"/>
  <c r="F1773" i="1"/>
  <c r="D1773" i="1"/>
  <c r="D1771" i="1"/>
  <c r="H1767" i="1"/>
  <c r="F1767" i="1"/>
  <c r="D1767" i="1"/>
  <c r="D1765" i="1"/>
  <c r="H1761" i="1"/>
  <c r="F1761" i="1"/>
  <c r="D1761" i="1"/>
  <c r="D1759" i="1"/>
  <c r="H1755" i="1"/>
  <c r="F1755" i="1"/>
  <c r="D1755" i="1"/>
  <c r="D1753" i="1"/>
  <c r="H1749" i="1"/>
  <c r="F1749" i="1"/>
  <c r="D1749" i="1"/>
  <c r="D1747" i="1"/>
  <c r="H1743" i="1"/>
  <c r="F1743" i="1"/>
  <c r="D1743" i="1"/>
  <c r="D1741" i="1"/>
  <c r="H1737" i="1"/>
  <c r="F1737" i="1"/>
  <c r="D1737" i="1"/>
  <c r="D1735" i="1"/>
  <c r="H1731" i="1"/>
  <c r="F1731" i="1"/>
  <c r="D1731" i="1"/>
  <c r="D1729" i="1"/>
  <c r="H1725" i="1"/>
  <c r="F1725" i="1"/>
  <c r="D1725" i="1"/>
  <c r="D1723" i="1"/>
  <c r="H1719" i="1"/>
  <c r="F1719" i="1"/>
  <c r="D1719" i="1"/>
  <c r="D1717" i="1"/>
  <c r="H1713" i="1"/>
  <c r="F1713" i="1"/>
  <c r="D1713" i="1"/>
  <c r="D1711" i="1"/>
  <c r="H1707" i="1"/>
  <c r="F1707" i="1"/>
  <c r="D1707" i="1"/>
  <c r="D1705" i="1"/>
  <c r="H1701" i="1"/>
  <c r="F1701" i="1"/>
  <c r="D1701" i="1"/>
  <c r="D1699" i="1"/>
  <c r="H1695" i="1"/>
  <c r="F1695" i="1"/>
  <c r="D1695" i="1"/>
  <c r="D1693" i="1"/>
  <c r="H1689" i="1"/>
  <c r="F1689" i="1"/>
  <c r="D1689" i="1"/>
  <c r="D1687" i="1"/>
  <c r="H1683" i="1"/>
  <c r="F1683" i="1"/>
  <c r="D1683" i="1"/>
  <c r="D1681" i="1"/>
  <c r="H1677" i="1"/>
  <c r="F1677" i="1"/>
  <c r="D1677" i="1"/>
  <c r="D1675" i="1"/>
  <c r="H1671" i="1"/>
  <c r="F1671" i="1"/>
  <c r="D1671" i="1"/>
  <c r="D1669" i="1"/>
  <c r="H1665" i="1"/>
  <c r="F1665" i="1"/>
  <c r="D1665" i="1"/>
  <c r="H1659" i="1"/>
  <c r="F1659" i="1"/>
  <c r="D1659" i="1"/>
  <c r="H1658" i="1"/>
  <c r="H1653" i="1" s="1"/>
  <c r="D1658" i="1"/>
  <c r="H1657" i="1"/>
  <c r="H1651" i="1" s="1"/>
  <c r="H1647" i="1" s="1"/>
  <c r="F1657" i="1"/>
  <c r="F1651" i="1" s="1"/>
  <c r="F1647" i="1" s="1"/>
  <c r="D1657" i="1"/>
  <c r="H1656" i="1"/>
  <c r="F1656" i="1"/>
  <c r="D1656" i="1"/>
  <c r="H1655" i="1"/>
  <c r="F1655" i="1"/>
  <c r="D1655" i="1"/>
  <c r="H1641" i="1"/>
  <c r="F1641" i="1"/>
  <c r="D1641" i="1"/>
  <c r="D1639" i="1"/>
  <c r="D1635" i="1" s="1"/>
  <c r="H1635" i="1"/>
  <c r="F1635" i="1"/>
  <c r="D1633" i="1"/>
  <c r="D1629" i="1" s="1"/>
  <c r="H1629" i="1"/>
  <c r="F1629" i="1"/>
  <c r="D1627" i="1"/>
  <c r="D1623" i="1" s="1"/>
  <c r="H1623" i="1"/>
  <c r="F1623" i="1"/>
  <c r="D1621" i="1"/>
  <c r="D1617" i="1" s="1"/>
  <c r="H1617" i="1"/>
  <c r="F1617" i="1"/>
  <c r="D1615" i="1"/>
  <c r="D1611" i="1" s="1"/>
  <c r="H1611" i="1"/>
  <c r="F1611" i="1"/>
  <c r="D1609" i="1"/>
  <c r="D1605" i="1" s="1"/>
  <c r="H1605" i="1"/>
  <c r="F1605" i="1"/>
  <c r="D1603" i="1"/>
  <c r="D1599" i="1" s="1"/>
  <c r="H1599" i="1"/>
  <c r="F1599" i="1"/>
  <c r="D1597" i="1"/>
  <c r="D1593" i="1" s="1"/>
  <c r="H1593" i="1"/>
  <c r="F1593" i="1"/>
  <c r="D1591" i="1"/>
  <c r="D1587" i="1" s="1"/>
  <c r="H1587" i="1"/>
  <c r="F1587" i="1"/>
  <c r="D1585" i="1"/>
  <c r="D1581" i="1" s="1"/>
  <c r="H1581" i="1"/>
  <c r="F1581" i="1"/>
  <c r="D1579" i="1"/>
  <c r="D1575" i="1" s="1"/>
  <c r="H1575" i="1"/>
  <c r="F1575" i="1"/>
  <c r="D1573" i="1"/>
  <c r="D1569" i="1" s="1"/>
  <c r="H1569" i="1"/>
  <c r="F1569" i="1"/>
  <c r="D1567" i="1"/>
  <c r="D1563" i="1" s="1"/>
  <c r="H1563" i="1"/>
  <c r="F1563" i="1"/>
  <c r="D1561" i="1"/>
  <c r="D1557" i="1" s="1"/>
  <c r="H1557" i="1"/>
  <c r="F1557" i="1"/>
  <c r="D1555" i="1"/>
  <c r="H1551" i="1"/>
  <c r="F1551" i="1"/>
  <c r="H1550" i="1"/>
  <c r="H1544" i="1" s="1"/>
  <c r="F1550" i="1"/>
  <c r="D1550" i="1"/>
  <c r="D1544" i="1" s="1"/>
  <c r="H1549" i="1"/>
  <c r="H1543" i="1" s="1"/>
  <c r="F1549" i="1"/>
  <c r="F1543" i="1" s="1"/>
  <c r="H1548" i="1"/>
  <c r="F1548" i="1"/>
  <c r="D1548" i="1"/>
  <c r="H1547" i="1"/>
  <c r="F1547" i="1"/>
  <c r="D1547" i="1"/>
  <c r="F1544" i="1"/>
  <c r="H1542" i="1"/>
  <c r="F1542" i="1"/>
  <c r="F1541" i="1"/>
  <c r="D1541" i="1"/>
  <c r="H1533" i="1"/>
  <c r="F1533" i="1"/>
  <c r="D1533" i="1"/>
  <c r="H1532" i="1"/>
  <c r="F1532" i="1"/>
  <c r="D1532" i="1"/>
  <c r="H1531" i="1"/>
  <c r="H1525" i="1" s="1"/>
  <c r="F1531" i="1"/>
  <c r="F1525" i="1" s="1"/>
  <c r="D1531" i="1"/>
  <c r="D1525" i="1" s="1"/>
  <c r="H1530" i="1"/>
  <c r="F1530" i="1"/>
  <c r="D1530" i="1"/>
  <c r="D1524" i="1" s="1"/>
  <c r="H1529" i="1"/>
  <c r="F1529" i="1"/>
  <c r="D1529" i="1"/>
  <c r="H1526" i="1"/>
  <c r="F1526" i="1"/>
  <c r="D1526" i="1"/>
  <c r="H1524" i="1"/>
  <c r="F1523" i="1"/>
  <c r="H1515" i="1"/>
  <c r="F1515" i="1"/>
  <c r="D1515" i="1"/>
  <c r="H1509" i="1"/>
  <c r="F1509" i="1"/>
  <c r="D1509" i="1"/>
  <c r="H1508" i="1"/>
  <c r="F1508" i="1"/>
  <c r="D1508" i="1"/>
  <c r="H1507" i="1"/>
  <c r="F1507" i="1"/>
  <c r="D1507" i="1"/>
  <c r="H1506" i="1"/>
  <c r="F1506" i="1"/>
  <c r="D1506" i="1"/>
  <c r="H1505" i="1"/>
  <c r="F1505" i="1"/>
  <c r="F683" i="1" s="1"/>
  <c r="D1505" i="1"/>
  <c r="H1497" i="1"/>
  <c r="F1497" i="1"/>
  <c r="D1497" i="1"/>
  <c r="H1496" i="1"/>
  <c r="F1496" i="1"/>
  <c r="D1496" i="1"/>
  <c r="H1495" i="1"/>
  <c r="F1495" i="1"/>
  <c r="D1495" i="1"/>
  <c r="H1494" i="1"/>
  <c r="F1494" i="1"/>
  <c r="D1494" i="1"/>
  <c r="H1493" i="1"/>
  <c r="F1493" i="1"/>
  <c r="D1493" i="1"/>
  <c r="H1485" i="1"/>
  <c r="F1485" i="1"/>
  <c r="D1485" i="1"/>
  <c r="H1484" i="1"/>
  <c r="F1484" i="1"/>
  <c r="D1484" i="1"/>
  <c r="H1483" i="1"/>
  <c r="F1483" i="1"/>
  <c r="D1483" i="1"/>
  <c r="H1482" i="1"/>
  <c r="F1482" i="1"/>
  <c r="D1482" i="1"/>
  <c r="H1481" i="1"/>
  <c r="F1481" i="1"/>
  <c r="D1481" i="1"/>
  <c r="H1473" i="1"/>
  <c r="F1473" i="1"/>
  <c r="D1473" i="1"/>
  <c r="H1472" i="1"/>
  <c r="F1472" i="1"/>
  <c r="F1467" i="1" s="1"/>
  <c r="D1472" i="1"/>
  <c r="H1471" i="1"/>
  <c r="F1471" i="1"/>
  <c r="D1471" i="1"/>
  <c r="D1467" i="1" s="1"/>
  <c r="H1470" i="1"/>
  <c r="F1470" i="1"/>
  <c r="D1470" i="1"/>
  <c r="H1469" i="1"/>
  <c r="H1467" i="1" s="1"/>
  <c r="F1469" i="1"/>
  <c r="D1469" i="1"/>
  <c r="H1461" i="1"/>
  <c r="F1461" i="1"/>
  <c r="D1461" i="1"/>
  <c r="H1455" i="1"/>
  <c r="F1455" i="1"/>
  <c r="D1455" i="1"/>
  <c r="H1454" i="1"/>
  <c r="F1454" i="1"/>
  <c r="D1454" i="1"/>
  <c r="H1453" i="1"/>
  <c r="F1453" i="1"/>
  <c r="D1453" i="1"/>
  <c r="H1452" i="1"/>
  <c r="F1452" i="1"/>
  <c r="D1452" i="1"/>
  <c r="H1451" i="1"/>
  <c r="F1451" i="1"/>
  <c r="D1451" i="1"/>
  <c r="H1443" i="1"/>
  <c r="F1443" i="1"/>
  <c r="D1443" i="1"/>
  <c r="H1437" i="1"/>
  <c r="F1437" i="1"/>
  <c r="D1437" i="1"/>
  <c r="H1436" i="1"/>
  <c r="F1436" i="1"/>
  <c r="D1436" i="1"/>
  <c r="H1435" i="1"/>
  <c r="F1435" i="1"/>
  <c r="F685" i="1" s="1"/>
  <c r="D1435" i="1"/>
  <c r="H1434" i="1"/>
  <c r="F1434" i="1"/>
  <c r="D1434" i="1"/>
  <c r="H1433" i="1"/>
  <c r="F1433" i="1"/>
  <c r="D1433" i="1"/>
  <c r="H1425" i="1"/>
  <c r="F1425" i="1"/>
  <c r="D1425" i="1"/>
  <c r="H1419" i="1"/>
  <c r="F1419" i="1"/>
  <c r="D1419" i="1"/>
  <c r="H1418" i="1"/>
  <c r="F1418" i="1"/>
  <c r="D1418" i="1"/>
  <c r="H1417" i="1"/>
  <c r="F1417" i="1"/>
  <c r="D1417" i="1"/>
  <c r="H1416" i="1"/>
  <c r="H1413" i="1" s="1"/>
  <c r="F1416" i="1"/>
  <c r="D1416" i="1"/>
  <c r="H1415" i="1"/>
  <c r="F1415" i="1"/>
  <c r="F1413" i="1" s="1"/>
  <c r="D1415" i="1"/>
  <c r="H1407" i="1"/>
  <c r="F1407" i="1"/>
  <c r="D1407" i="1"/>
  <c r="H1401" i="1"/>
  <c r="F1401" i="1"/>
  <c r="D1401" i="1"/>
  <c r="H1400" i="1"/>
  <c r="F1400" i="1"/>
  <c r="D1400" i="1"/>
  <c r="H1399" i="1"/>
  <c r="F1399" i="1"/>
  <c r="D1399" i="1"/>
  <c r="H1398" i="1"/>
  <c r="F1398" i="1"/>
  <c r="D1398" i="1"/>
  <c r="H1397" i="1"/>
  <c r="F1397" i="1"/>
  <c r="D1397" i="1"/>
  <c r="H1389" i="1"/>
  <c r="F1389" i="1"/>
  <c r="D1389" i="1"/>
  <c r="H1383" i="1"/>
  <c r="F1383" i="1"/>
  <c r="D1383" i="1"/>
  <c r="H1382" i="1"/>
  <c r="F1382" i="1"/>
  <c r="D1382" i="1"/>
  <c r="H1381" i="1"/>
  <c r="F1381" i="1"/>
  <c r="D1381" i="1"/>
  <c r="H1380" i="1"/>
  <c r="F1380" i="1"/>
  <c r="D1380" i="1"/>
  <c r="H1379" i="1"/>
  <c r="H1377" i="1" s="1"/>
  <c r="F1379" i="1"/>
  <c r="D1379" i="1"/>
  <c r="H1371" i="1"/>
  <c r="F1371" i="1"/>
  <c r="D1371" i="1"/>
  <c r="H1365" i="1"/>
  <c r="F1365" i="1"/>
  <c r="D1365" i="1"/>
  <c r="H1364" i="1"/>
  <c r="F1364" i="1"/>
  <c r="D1364" i="1"/>
  <c r="H1363" i="1"/>
  <c r="F1363" i="1"/>
  <c r="D1363" i="1"/>
  <c r="H1362" i="1"/>
  <c r="F1362" i="1"/>
  <c r="D1362" i="1"/>
  <c r="H1361" i="1"/>
  <c r="F1361" i="1"/>
  <c r="D1361" i="1"/>
  <c r="H1353" i="1"/>
  <c r="F1353" i="1"/>
  <c r="D1353" i="1"/>
  <c r="H1347" i="1"/>
  <c r="F1347" i="1"/>
  <c r="D1347" i="1"/>
  <c r="H1346" i="1"/>
  <c r="F1346" i="1"/>
  <c r="D1346" i="1"/>
  <c r="H1345" i="1"/>
  <c r="F1345" i="1"/>
  <c r="D1345" i="1"/>
  <c r="H1344" i="1"/>
  <c r="F1344" i="1"/>
  <c r="D1344" i="1"/>
  <c r="H1343" i="1"/>
  <c r="F1343" i="1"/>
  <c r="D1343" i="1"/>
  <c r="D1339" i="1"/>
  <c r="D1335" i="1" s="1"/>
  <c r="H1335" i="1"/>
  <c r="F1335" i="1"/>
  <c r="D1333" i="1"/>
  <c r="H1329" i="1"/>
  <c r="F1329" i="1"/>
  <c r="H1323" i="1"/>
  <c r="F1323" i="1"/>
  <c r="D1323" i="1"/>
  <c r="H1317" i="1"/>
  <c r="F1317" i="1"/>
  <c r="D1317" i="1"/>
  <c r="H1311" i="1"/>
  <c r="F1311" i="1"/>
  <c r="D1311" i="1"/>
  <c r="D1309" i="1"/>
  <c r="H1305" i="1"/>
  <c r="F1305" i="1"/>
  <c r="D1305" i="1"/>
  <c r="D1303" i="1"/>
  <c r="H1299" i="1"/>
  <c r="F1299" i="1"/>
  <c r="D1299" i="1"/>
  <c r="D1297" i="1"/>
  <c r="H1293" i="1"/>
  <c r="F1293" i="1"/>
  <c r="D1293" i="1"/>
  <c r="D1291" i="1"/>
  <c r="H1287" i="1"/>
  <c r="F1287" i="1"/>
  <c r="D1287" i="1"/>
  <c r="D1285" i="1"/>
  <c r="H1281" i="1"/>
  <c r="F1281" i="1"/>
  <c r="D1281" i="1"/>
  <c r="D1279" i="1"/>
  <c r="H1275" i="1"/>
  <c r="F1275" i="1"/>
  <c r="D1275" i="1"/>
  <c r="D1273" i="1"/>
  <c r="H1269" i="1"/>
  <c r="F1269" i="1"/>
  <c r="D1269" i="1"/>
  <c r="D1267" i="1"/>
  <c r="H1263" i="1"/>
  <c r="F1263" i="1"/>
  <c r="D1263" i="1"/>
  <c r="D1261" i="1"/>
  <c r="H1257" i="1"/>
  <c r="F1257" i="1"/>
  <c r="D1257" i="1"/>
  <c r="D1255" i="1"/>
  <c r="H1251" i="1"/>
  <c r="F1251" i="1"/>
  <c r="D1251" i="1"/>
  <c r="D1249" i="1"/>
  <c r="H1245" i="1"/>
  <c r="F1245" i="1"/>
  <c r="D1245" i="1"/>
  <c r="D1243" i="1"/>
  <c r="H1239" i="1"/>
  <c r="F1239" i="1"/>
  <c r="D1239" i="1"/>
  <c r="D1237" i="1"/>
  <c r="H1233" i="1"/>
  <c r="F1233" i="1"/>
  <c r="D1233" i="1"/>
  <c r="D1231" i="1"/>
  <c r="H1227" i="1"/>
  <c r="F1227" i="1"/>
  <c r="D1227" i="1"/>
  <c r="D1225" i="1"/>
  <c r="H1221" i="1"/>
  <c r="F1221" i="1"/>
  <c r="D1221" i="1"/>
  <c r="D1219" i="1"/>
  <c r="H1215" i="1"/>
  <c r="F1215" i="1"/>
  <c r="D1215" i="1"/>
  <c r="D1213" i="1"/>
  <c r="H1209" i="1"/>
  <c r="F1209" i="1"/>
  <c r="D1209" i="1"/>
  <c r="H1208" i="1"/>
  <c r="F1208" i="1"/>
  <c r="D1208" i="1"/>
  <c r="H1207" i="1"/>
  <c r="F1207" i="1"/>
  <c r="H1206" i="1"/>
  <c r="F1206" i="1"/>
  <c r="D1206" i="1"/>
  <c r="H1205" i="1"/>
  <c r="F1205" i="1"/>
  <c r="D1205" i="1"/>
  <c r="H1197" i="1"/>
  <c r="F1197" i="1"/>
  <c r="D1197" i="1"/>
  <c r="D1195" i="1"/>
  <c r="D1189" i="1" s="1"/>
  <c r="H1191" i="1"/>
  <c r="F1191" i="1"/>
  <c r="H1190" i="1"/>
  <c r="F1190" i="1"/>
  <c r="D1190" i="1"/>
  <c r="H1189" i="1"/>
  <c r="F1189" i="1"/>
  <c r="F1185" i="1" s="1"/>
  <c r="H1188" i="1"/>
  <c r="F1188" i="1"/>
  <c r="D1188" i="1"/>
  <c r="H1187" i="1"/>
  <c r="H1185" i="1" s="1"/>
  <c r="F1187" i="1"/>
  <c r="D1187" i="1"/>
  <c r="H1179" i="1"/>
  <c r="F1179" i="1"/>
  <c r="D1179" i="1"/>
  <c r="D1177" i="1"/>
  <c r="D1173" i="1" s="1"/>
  <c r="H1173" i="1"/>
  <c r="F1173" i="1"/>
  <c r="D1171" i="1"/>
  <c r="D1167" i="1" s="1"/>
  <c r="H1167" i="1"/>
  <c r="F1167" i="1"/>
  <c r="D1165" i="1"/>
  <c r="D1161" i="1" s="1"/>
  <c r="H1161" i="1"/>
  <c r="F1161" i="1"/>
  <c r="D1159" i="1"/>
  <c r="D1155" i="1" s="1"/>
  <c r="H1155" i="1"/>
  <c r="F1155" i="1"/>
  <c r="H1154" i="1"/>
  <c r="F1154" i="1"/>
  <c r="D1154" i="1"/>
  <c r="H1153" i="1"/>
  <c r="F1153" i="1"/>
  <c r="D1153" i="1"/>
  <c r="H1152" i="1"/>
  <c r="F1152" i="1"/>
  <c r="D1152" i="1"/>
  <c r="H1151" i="1"/>
  <c r="H1149" i="1" s="1"/>
  <c r="F1151" i="1"/>
  <c r="D1151" i="1"/>
  <c r="H1143" i="1"/>
  <c r="F1143" i="1"/>
  <c r="D1143" i="1"/>
  <c r="D1140" i="1"/>
  <c r="D1137" i="1" s="1"/>
  <c r="H1137" i="1"/>
  <c r="F1137" i="1"/>
  <c r="D1134" i="1"/>
  <c r="D1131" i="1" s="1"/>
  <c r="H1131" i="1"/>
  <c r="F1131" i="1"/>
  <c r="D1128" i="1"/>
  <c r="D1125" i="1" s="1"/>
  <c r="H1125" i="1"/>
  <c r="F1125" i="1"/>
  <c r="D1122" i="1"/>
  <c r="H1119" i="1"/>
  <c r="F1119" i="1"/>
  <c r="H1118" i="1"/>
  <c r="F1118" i="1"/>
  <c r="D1118" i="1"/>
  <c r="H1117" i="1"/>
  <c r="F1117" i="1"/>
  <c r="D1117" i="1"/>
  <c r="H1116" i="1"/>
  <c r="F1116" i="1"/>
  <c r="H1115" i="1"/>
  <c r="H1113" i="1" s="1"/>
  <c r="F1115" i="1"/>
  <c r="D1115" i="1"/>
  <c r="H1107" i="1"/>
  <c r="F1107" i="1"/>
  <c r="D1107" i="1"/>
  <c r="H1106" i="1"/>
  <c r="F1106" i="1"/>
  <c r="D1106" i="1"/>
  <c r="H1105" i="1"/>
  <c r="F1105" i="1"/>
  <c r="D1105" i="1"/>
  <c r="D1101" i="1" s="1"/>
  <c r="H1104" i="1"/>
  <c r="F1104" i="1"/>
  <c r="D1104" i="1"/>
  <c r="H1103" i="1"/>
  <c r="F1103" i="1"/>
  <c r="D1103" i="1"/>
  <c r="H1095" i="1"/>
  <c r="F1095" i="1"/>
  <c r="D1095" i="1"/>
  <c r="H1094" i="1"/>
  <c r="F1094" i="1"/>
  <c r="D1094" i="1"/>
  <c r="H1093" i="1"/>
  <c r="F1093" i="1"/>
  <c r="D1093" i="1"/>
  <c r="H1092" i="1"/>
  <c r="F1092" i="1"/>
  <c r="D1092" i="1"/>
  <c r="H1091" i="1"/>
  <c r="H1089" i="1" s="1"/>
  <c r="F1091" i="1"/>
  <c r="D1091" i="1"/>
  <c r="D1087" i="1"/>
  <c r="D1083" i="1" s="1"/>
  <c r="H1083" i="1"/>
  <c r="F1083" i="1"/>
  <c r="D1081" i="1"/>
  <c r="D1077" i="1" s="1"/>
  <c r="H1077" i="1"/>
  <c r="F1077" i="1"/>
  <c r="D1075" i="1"/>
  <c r="D1071" i="1" s="1"/>
  <c r="H1071" i="1"/>
  <c r="F1071" i="1"/>
  <c r="D1069" i="1"/>
  <c r="D1065" i="1" s="1"/>
  <c r="H1065" i="1"/>
  <c r="F1065" i="1"/>
  <c r="D1063" i="1"/>
  <c r="D1059" i="1" s="1"/>
  <c r="H1059" i="1"/>
  <c r="F1059" i="1"/>
  <c r="D1057" i="1"/>
  <c r="D1053" i="1" s="1"/>
  <c r="H1053" i="1"/>
  <c r="F1053" i="1"/>
  <c r="D1051" i="1"/>
  <c r="D1047" i="1" s="1"/>
  <c r="H1047" i="1"/>
  <c r="F1047" i="1"/>
  <c r="D1045" i="1"/>
  <c r="D1041" i="1" s="1"/>
  <c r="H1041" i="1"/>
  <c r="F1041" i="1"/>
  <c r="D1039" i="1"/>
  <c r="D1035" i="1" s="1"/>
  <c r="H1035" i="1"/>
  <c r="F1035" i="1"/>
  <c r="D1033" i="1"/>
  <c r="D1029" i="1" s="1"/>
  <c r="H1029" i="1"/>
  <c r="F1029" i="1"/>
  <c r="D1027" i="1"/>
  <c r="D1023" i="1" s="1"/>
  <c r="H1023" i="1"/>
  <c r="F1023" i="1"/>
  <c r="D1021" i="1"/>
  <c r="D1017" i="1" s="1"/>
  <c r="H1017" i="1"/>
  <c r="F1017" i="1"/>
  <c r="D1015" i="1"/>
  <c r="D1011" i="1" s="1"/>
  <c r="H1011" i="1"/>
  <c r="F1011" i="1"/>
  <c r="D1009" i="1"/>
  <c r="D1005" i="1" s="1"/>
  <c r="H1005" i="1"/>
  <c r="F1005" i="1"/>
  <c r="D1003" i="1"/>
  <c r="D999" i="1" s="1"/>
  <c r="H999" i="1"/>
  <c r="F999" i="1"/>
  <c r="D997" i="1"/>
  <c r="D993" i="1" s="1"/>
  <c r="H993" i="1"/>
  <c r="F993" i="1"/>
  <c r="D991" i="1"/>
  <c r="D987" i="1" s="1"/>
  <c r="H987" i="1"/>
  <c r="F987" i="1"/>
  <c r="D985" i="1"/>
  <c r="D981" i="1" s="1"/>
  <c r="H981" i="1"/>
  <c r="F981" i="1"/>
  <c r="D979" i="1"/>
  <c r="D975" i="1" s="1"/>
  <c r="H975" i="1"/>
  <c r="F975" i="1"/>
  <c r="D973" i="1"/>
  <c r="D969" i="1" s="1"/>
  <c r="H969" i="1"/>
  <c r="F969" i="1"/>
  <c r="D967" i="1"/>
  <c r="D963" i="1" s="1"/>
  <c r="H963" i="1"/>
  <c r="F963" i="1"/>
  <c r="D961" i="1"/>
  <c r="D957" i="1" s="1"/>
  <c r="H957" i="1"/>
  <c r="F957" i="1"/>
  <c r="D955" i="1"/>
  <c r="D951" i="1" s="1"/>
  <c r="H951" i="1"/>
  <c r="F951" i="1"/>
  <c r="D949" i="1"/>
  <c r="H945" i="1"/>
  <c r="F945" i="1"/>
  <c r="D945" i="1"/>
  <c r="D943" i="1"/>
  <c r="H939" i="1"/>
  <c r="F939" i="1"/>
  <c r="D939" i="1"/>
  <c r="D937" i="1"/>
  <c r="H933" i="1"/>
  <c r="F933" i="1"/>
  <c r="D933" i="1"/>
  <c r="D931" i="1"/>
  <c r="H927" i="1"/>
  <c r="F927" i="1"/>
  <c r="D927" i="1"/>
  <c r="D925" i="1"/>
  <c r="H921" i="1"/>
  <c r="F921" i="1"/>
  <c r="D921" i="1"/>
  <c r="D919" i="1"/>
  <c r="H915" i="1"/>
  <c r="F915" i="1"/>
  <c r="D915" i="1"/>
  <c r="D913" i="1"/>
  <c r="H909" i="1"/>
  <c r="F909" i="1"/>
  <c r="D909" i="1"/>
  <c r="D907" i="1"/>
  <c r="H903" i="1"/>
  <c r="F903" i="1"/>
  <c r="D903" i="1"/>
  <c r="D901" i="1"/>
  <c r="H897" i="1"/>
  <c r="F897" i="1"/>
  <c r="D897" i="1"/>
  <c r="D895" i="1"/>
  <c r="H891" i="1"/>
  <c r="F891" i="1"/>
  <c r="D891" i="1"/>
  <c r="D889" i="1"/>
  <c r="H885" i="1"/>
  <c r="F885" i="1"/>
  <c r="D885" i="1"/>
  <c r="D883" i="1"/>
  <c r="H879" i="1"/>
  <c r="F879" i="1"/>
  <c r="D879" i="1"/>
  <c r="D877" i="1"/>
  <c r="H873" i="1"/>
  <c r="F873" i="1"/>
  <c r="D873" i="1"/>
  <c r="D871" i="1"/>
  <c r="H867" i="1"/>
  <c r="F867" i="1"/>
  <c r="D867" i="1"/>
  <c r="D865" i="1"/>
  <c r="H861" i="1"/>
  <c r="F861" i="1"/>
  <c r="D861" i="1"/>
  <c r="D859" i="1"/>
  <c r="H855" i="1"/>
  <c r="F855" i="1"/>
  <c r="D855" i="1"/>
  <c r="D853" i="1"/>
  <c r="H849" i="1"/>
  <c r="F849" i="1"/>
  <c r="D849" i="1"/>
  <c r="D847" i="1"/>
  <c r="H843" i="1"/>
  <c r="F843" i="1"/>
  <c r="D843" i="1"/>
  <c r="D841" i="1"/>
  <c r="H837" i="1"/>
  <c r="F837" i="1"/>
  <c r="D837" i="1"/>
  <c r="D835" i="1"/>
  <c r="H831" i="1"/>
  <c r="F831" i="1"/>
  <c r="D831" i="1"/>
  <c r="D829" i="1"/>
  <c r="H825" i="1"/>
  <c r="F825" i="1"/>
  <c r="D825" i="1"/>
  <c r="D823" i="1"/>
  <c r="H819" i="1"/>
  <c r="F819" i="1"/>
  <c r="D819" i="1"/>
  <c r="D817" i="1"/>
  <c r="H813" i="1"/>
  <c r="F813" i="1"/>
  <c r="D813" i="1"/>
  <c r="D811" i="1"/>
  <c r="H807" i="1"/>
  <c r="F807" i="1"/>
  <c r="D807" i="1"/>
  <c r="D805" i="1"/>
  <c r="H801" i="1"/>
  <c r="F801" i="1"/>
  <c r="D801" i="1"/>
  <c r="D799" i="1"/>
  <c r="H795" i="1"/>
  <c r="F795" i="1"/>
  <c r="D795" i="1"/>
  <c r="D793" i="1"/>
  <c r="H789" i="1"/>
  <c r="F789" i="1"/>
  <c r="D789" i="1"/>
  <c r="D787" i="1"/>
  <c r="H783" i="1"/>
  <c r="F783" i="1"/>
  <c r="D783" i="1"/>
  <c r="D781" i="1"/>
  <c r="H777" i="1"/>
  <c r="F777" i="1"/>
  <c r="D777" i="1"/>
  <c r="D775" i="1"/>
  <c r="H771" i="1"/>
  <c r="F771" i="1"/>
  <c r="D771" i="1"/>
  <c r="D769" i="1"/>
  <c r="H765" i="1"/>
  <c r="F765" i="1"/>
  <c r="D765" i="1"/>
  <c r="D763" i="1"/>
  <c r="H759" i="1"/>
  <c r="F759" i="1"/>
  <c r="D759" i="1"/>
  <c r="D757" i="1"/>
  <c r="H753" i="1"/>
  <c r="F753" i="1"/>
  <c r="D753" i="1"/>
  <c r="D751" i="1"/>
  <c r="H747" i="1"/>
  <c r="F747" i="1"/>
  <c r="D747" i="1"/>
  <c r="D745" i="1"/>
  <c r="H741" i="1"/>
  <c r="F741" i="1"/>
  <c r="D741" i="1"/>
  <c r="D739" i="1"/>
  <c r="H735" i="1"/>
  <c r="F735" i="1"/>
  <c r="D735" i="1"/>
  <c r="D733" i="1"/>
  <c r="H729" i="1"/>
  <c r="F729" i="1"/>
  <c r="D729" i="1"/>
  <c r="D727" i="1"/>
  <c r="H723" i="1"/>
  <c r="F723" i="1"/>
  <c r="D723" i="1"/>
  <c r="D721" i="1"/>
  <c r="H717" i="1"/>
  <c r="F717" i="1"/>
  <c r="D717" i="1"/>
  <c r="D715" i="1"/>
  <c r="H711" i="1"/>
  <c r="F711" i="1"/>
  <c r="D711" i="1"/>
  <c r="D709" i="1"/>
  <c r="H705" i="1"/>
  <c r="F705" i="1"/>
  <c r="D705" i="1"/>
  <c r="D703" i="1"/>
  <c r="H699" i="1"/>
  <c r="F699" i="1"/>
  <c r="D699" i="1"/>
  <c r="D697" i="1"/>
  <c r="H693" i="1"/>
  <c r="F693" i="1"/>
  <c r="D693" i="1"/>
  <c r="H692" i="1"/>
  <c r="F692" i="1"/>
  <c r="D692" i="1"/>
  <c r="H691" i="1"/>
  <c r="H685" i="1" s="1"/>
  <c r="F691" i="1"/>
  <c r="H690" i="1"/>
  <c r="F690" i="1"/>
  <c r="D690" i="1"/>
  <c r="H689" i="1"/>
  <c r="F689" i="1"/>
  <c r="D689" i="1"/>
  <c r="H686" i="1"/>
  <c r="D683" i="1"/>
  <c r="H675" i="1"/>
  <c r="F675" i="1"/>
  <c r="D675" i="1"/>
  <c r="H669" i="1"/>
  <c r="F669" i="1"/>
  <c r="D669" i="1"/>
  <c r="H668" i="1"/>
  <c r="F668" i="1"/>
  <c r="F663" i="1" s="1"/>
  <c r="D668" i="1"/>
  <c r="H667" i="1"/>
  <c r="F667" i="1"/>
  <c r="D667" i="1"/>
  <c r="H666" i="1"/>
  <c r="F666" i="1"/>
  <c r="D666" i="1"/>
  <c r="H665" i="1"/>
  <c r="H663" i="1" s="1"/>
  <c r="F665" i="1"/>
  <c r="D665" i="1"/>
  <c r="D663" i="1"/>
  <c r="H657" i="1"/>
  <c r="F657" i="1"/>
  <c r="D657" i="1"/>
  <c r="H651" i="1"/>
  <c r="F651" i="1"/>
  <c r="D651" i="1"/>
  <c r="D649" i="1"/>
  <c r="D645" i="1" s="1"/>
  <c r="H645" i="1"/>
  <c r="F645" i="1"/>
  <c r="H639" i="1"/>
  <c r="F639" i="1"/>
  <c r="D639" i="1"/>
  <c r="H633" i="1"/>
  <c r="F633" i="1"/>
  <c r="D633" i="1"/>
  <c r="D631" i="1"/>
  <c r="D627" i="1" s="1"/>
  <c r="H627" i="1"/>
  <c r="F627" i="1"/>
  <c r="H621" i="1"/>
  <c r="F621" i="1"/>
  <c r="D621" i="1"/>
  <c r="D619" i="1"/>
  <c r="H609" i="1"/>
  <c r="F609" i="1"/>
  <c r="D609" i="1"/>
  <c r="H608" i="1"/>
  <c r="F608" i="1"/>
  <c r="D608" i="1"/>
  <c r="H607" i="1"/>
  <c r="F607" i="1"/>
  <c r="H606" i="1"/>
  <c r="F606" i="1"/>
  <c r="D606" i="1"/>
  <c r="H605" i="1"/>
  <c r="F605" i="1"/>
  <c r="F599" i="1" s="1"/>
  <c r="D605" i="1"/>
  <c r="D595" i="1"/>
  <c r="H591" i="1"/>
  <c r="F591" i="1"/>
  <c r="D591" i="1"/>
  <c r="H585" i="1"/>
  <c r="F585" i="1"/>
  <c r="D585" i="1"/>
  <c r="H579" i="1"/>
  <c r="F579" i="1"/>
  <c r="D579" i="1"/>
  <c r="D577" i="1"/>
  <c r="D573" i="1" s="1"/>
  <c r="H573" i="1"/>
  <c r="F573" i="1"/>
  <c r="D571" i="1"/>
  <c r="D567" i="1" s="1"/>
  <c r="H567" i="1"/>
  <c r="F567" i="1"/>
  <c r="D565" i="1"/>
  <c r="D561" i="1" s="1"/>
  <c r="H561" i="1"/>
  <c r="F561" i="1"/>
  <c r="D559" i="1"/>
  <c r="D555" i="1" s="1"/>
  <c r="H555" i="1"/>
  <c r="F555" i="1"/>
  <c r="D553" i="1"/>
  <c r="D549" i="1" s="1"/>
  <c r="H549" i="1"/>
  <c r="F549" i="1"/>
  <c r="D547" i="1"/>
  <c r="D543" i="1" s="1"/>
  <c r="H543" i="1"/>
  <c r="F543" i="1"/>
  <c r="D541" i="1"/>
  <c r="D537" i="1" s="1"/>
  <c r="H537" i="1"/>
  <c r="F537" i="1"/>
  <c r="D535" i="1"/>
  <c r="D531" i="1" s="1"/>
  <c r="H531" i="1"/>
  <c r="F531" i="1"/>
  <c r="D529" i="1"/>
  <c r="D525" i="1" s="1"/>
  <c r="H525" i="1"/>
  <c r="F525" i="1"/>
  <c r="D523" i="1"/>
  <c r="D519" i="1" s="1"/>
  <c r="H519" i="1"/>
  <c r="F519" i="1"/>
  <c r="D517" i="1"/>
  <c r="D513" i="1" s="1"/>
  <c r="H513" i="1"/>
  <c r="F513" i="1"/>
  <c r="D511" i="1"/>
  <c r="D507" i="1" s="1"/>
  <c r="H507" i="1"/>
  <c r="F507" i="1"/>
  <c r="D505" i="1"/>
  <c r="D501" i="1" s="1"/>
  <c r="H501" i="1"/>
  <c r="F501" i="1"/>
  <c r="D499" i="1"/>
  <c r="D495" i="1" s="1"/>
  <c r="H495" i="1"/>
  <c r="F495" i="1"/>
  <c r="D493" i="1"/>
  <c r="D489" i="1" s="1"/>
  <c r="H489" i="1"/>
  <c r="F489" i="1"/>
  <c r="D487" i="1"/>
  <c r="D483" i="1" s="1"/>
  <c r="H483" i="1"/>
  <c r="F483" i="1"/>
  <c r="D481" i="1"/>
  <c r="D477" i="1" s="1"/>
  <c r="H477" i="1"/>
  <c r="F477" i="1"/>
  <c r="D475" i="1"/>
  <c r="D471" i="1" s="1"/>
  <c r="H471" i="1"/>
  <c r="F471" i="1"/>
  <c r="D469" i="1"/>
  <c r="D465" i="1" s="1"/>
  <c r="H465" i="1"/>
  <c r="F465" i="1"/>
  <c r="D463" i="1"/>
  <c r="D459" i="1" s="1"/>
  <c r="H459" i="1"/>
  <c r="F459" i="1"/>
  <c r="D457" i="1"/>
  <c r="D445" i="1" s="1"/>
  <c r="H453" i="1"/>
  <c r="F453" i="1"/>
  <c r="D451" i="1"/>
  <c r="D447" i="1" s="1"/>
  <c r="H447" i="1"/>
  <c r="F447" i="1"/>
  <c r="H446" i="1"/>
  <c r="F446" i="1"/>
  <c r="D446" i="1"/>
  <c r="D392" i="1" s="1"/>
  <c r="H445" i="1"/>
  <c r="F445" i="1"/>
  <c r="H444" i="1"/>
  <c r="F444" i="1"/>
  <c r="D444" i="1"/>
  <c r="H443" i="1"/>
  <c r="F443" i="1"/>
  <c r="D443" i="1"/>
  <c r="D439" i="1"/>
  <c r="H435" i="1"/>
  <c r="F435" i="1"/>
  <c r="D435" i="1"/>
  <c r="D433" i="1"/>
  <c r="H429" i="1"/>
  <c r="F429" i="1"/>
  <c r="D429" i="1"/>
  <c r="D427" i="1"/>
  <c r="H423" i="1"/>
  <c r="F423" i="1"/>
  <c r="D423" i="1"/>
  <c r="D421" i="1"/>
  <c r="H417" i="1"/>
  <c r="F417" i="1"/>
  <c r="D417" i="1"/>
  <c r="D415" i="1"/>
  <c r="H411" i="1"/>
  <c r="F411" i="1"/>
  <c r="D411" i="1"/>
  <c r="D409" i="1"/>
  <c r="H405" i="1"/>
  <c r="F405" i="1"/>
  <c r="D405" i="1"/>
  <c r="D403" i="1"/>
  <c r="D397" i="1" s="1"/>
  <c r="H399" i="1"/>
  <c r="F399" i="1"/>
  <c r="D399" i="1"/>
  <c r="H398" i="1"/>
  <c r="H392" i="1" s="1"/>
  <c r="F398" i="1"/>
  <c r="D398" i="1"/>
  <c r="H397" i="1"/>
  <c r="H391" i="1" s="1"/>
  <c r="F397" i="1"/>
  <c r="H396" i="1"/>
  <c r="H390" i="1" s="1"/>
  <c r="F396" i="1"/>
  <c r="F390" i="1" s="1"/>
  <c r="D396" i="1"/>
  <c r="D390" i="1" s="1"/>
  <c r="H395" i="1"/>
  <c r="F395" i="1"/>
  <c r="D395" i="1"/>
  <c r="F391" i="1"/>
  <c r="F389" i="1"/>
  <c r="H381" i="1"/>
  <c r="F381" i="1"/>
  <c r="D381" i="1"/>
  <c r="D379" i="1"/>
  <c r="D375" i="1" s="1"/>
  <c r="H375" i="1"/>
  <c r="F375" i="1"/>
  <c r="H374" i="1"/>
  <c r="H368" i="1" s="1"/>
  <c r="F374" i="1"/>
  <c r="F368" i="1" s="1"/>
  <c r="D374" i="1"/>
  <c r="H373" i="1"/>
  <c r="F373" i="1"/>
  <c r="F367" i="1" s="1"/>
  <c r="D373" i="1"/>
  <c r="H372" i="1"/>
  <c r="H366" i="1" s="1"/>
  <c r="F372" i="1"/>
  <c r="D372" i="1"/>
  <c r="D366" i="1" s="1"/>
  <c r="H371" i="1"/>
  <c r="H369" i="1" s="1"/>
  <c r="F371" i="1"/>
  <c r="F365" i="1" s="1"/>
  <c r="F363" i="1" s="1"/>
  <c r="D371" i="1"/>
  <c r="D368" i="1"/>
  <c r="H367" i="1"/>
  <c r="F366" i="1"/>
  <c r="D365" i="1"/>
  <c r="H357" i="1"/>
  <c r="F357" i="1"/>
  <c r="D357" i="1"/>
  <c r="H356" i="1"/>
  <c r="F356" i="1"/>
  <c r="D356" i="1"/>
  <c r="H355" i="1"/>
  <c r="F355" i="1"/>
  <c r="D355" i="1"/>
  <c r="H354" i="1"/>
  <c r="F354" i="1"/>
  <c r="D354" i="1"/>
  <c r="H353" i="1"/>
  <c r="F353" i="1"/>
  <c r="D353" i="1"/>
  <c r="F351" i="1"/>
  <c r="H345" i="1"/>
  <c r="F345" i="1"/>
  <c r="D345" i="1"/>
  <c r="H339" i="1"/>
  <c r="F339" i="1"/>
  <c r="D339" i="1"/>
  <c r="H338" i="1"/>
  <c r="F338" i="1"/>
  <c r="D338" i="1"/>
  <c r="H337" i="1"/>
  <c r="F337" i="1"/>
  <c r="D337" i="1"/>
  <c r="H336" i="1"/>
  <c r="F336" i="1"/>
  <c r="D336" i="1"/>
  <c r="H335" i="1"/>
  <c r="F335" i="1"/>
  <c r="D335" i="1"/>
  <c r="H327" i="1"/>
  <c r="F327" i="1"/>
  <c r="D327" i="1"/>
  <c r="D324" i="1"/>
  <c r="D318" i="1" s="1"/>
  <c r="H321" i="1"/>
  <c r="H315" i="1" s="1"/>
  <c r="F321" i="1"/>
  <c r="F315" i="1" s="1"/>
  <c r="H320" i="1"/>
  <c r="F320" i="1"/>
  <c r="D320" i="1"/>
  <c r="H319" i="1"/>
  <c r="F319" i="1"/>
  <c r="D319" i="1"/>
  <c r="H318" i="1"/>
  <c r="F318" i="1"/>
  <c r="H317" i="1"/>
  <c r="F317" i="1"/>
  <c r="D317" i="1"/>
  <c r="H309" i="1"/>
  <c r="F309" i="1"/>
  <c r="D309" i="1"/>
  <c r="D306" i="1"/>
  <c r="D300" i="1" s="1"/>
  <c r="H303" i="1"/>
  <c r="F303" i="1"/>
  <c r="F297" i="1" s="1"/>
  <c r="H302" i="1"/>
  <c r="H68" i="1" s="1"/>
  <c r="F302" i="1"/>
  <c r="D302" i="1"/>
  <c r="H301" i="1"/>
  <c r="F301" i="1"/>
  <c r="D301" i="1"/>
  <c r="H300" i="1"/>
  <c r="F300" i="1"/>
  <c r="H299" i="1"/>
  <c r="F299" i="1"/>
  <c r="D299" i="1"/>
  <c r="H297" i="1"/>
  <c r="H291" i="1"/>
  <c r="H279" i="1" s="1"/>
  <c r="F291" i="1"/>
  <c r="D291" i="1"/>
  <c r="D288" i="1"/>
  <c r="H285" i="1"/>
  <c r="F285" i="1"/>
  <c r="F279" i="1" s="1"/>
  <c r="H284" i="1"/>
  <c r="F284" i="1"/>
  <c r="D284" i="1"/>
  <c r="H283" i="1"/>
  <c r="F283" i="1"/>
  <c r="D283" i="1"/>
  <c r="H282" i="1"/>
  <c r="F282" i="1"/>
  <c r="H281" i="1"/>
  <c r="F281" i="1"/>
  <c r="D281" i="1"/>
  <c r="H273" i="1"/>
  <c r="F273" i="1"/>
  <c r="D273" i="1"/>
  <c r="D271" i="1"/>
  <c r="D267" i="1" s="1"/>
  <c r="H267" i="1"/>
  <c r="F267" i="1"/>
  <c r="H266" i="1"/>
  <c r="F266" i="1"/>
  <c r="D266" i="1"/>
  <c r="H265" i="1"/>
  <c r="H261" i="1" s="1"/>
  <c r="F265" i="1"/>
  <c r="H264" i="1"/>
  <c r="F264" i="1"/>
  <c r="D264" i="1"/>
  <c r="H263" i="1"/>
  <c r="F263" i="1"/>
  <c r="D263" i="1"/>
  <c r="H255" i="1"/>
  <c r="F255" i="1"/>
  <c r="D255" i="1"/>
  <c r="H254" i="1"/>
  <c r="F254" i="1"/>
  <c r="D254" i="1"/>
  <c r="H253" i="1"/>
  <c r="F253" i="1"/>
  <c r="D253" i="1"/>
  <c r="D249" i="1" s="1"/>
  <c r="H252" i="1"/>
  <c r="F252" i="1"/>
  <c r="D252" i="1"/>
  <c r="H251" i="1"/>
  <c r="H249" i="1" s="1"/>
  <c r="F251" i="1"/>
  <c r="D251" i="1"/>
  <c r="H243" i="1"/>
  <c r="F243" i="1"/>
  <c r="D243" i="1"/>
  <c r="H242" i="1"/>
  <c r="F242" i="1"/>
  <c r="D242" i="1"/>
  <c r="H241" i="1"/>
  <c r="F241" i="1"/>
  <c r="D241" i="1"/>
  <c r="D237" i="1" s="1"/>
  <c r="H240" i="1"/>
  <c r="F240" i="1"/>
  <c r="D240" i="1"/>
  <c r="H239" i="1"/>
  <c r="H237" i="1" s="1"/>
  <c r="F239" i="1"/>
  <c r="D239" i="1"/>
  <c r="H231" i="1"/>
  <c r="H219" i="1" s="1"/>
  <c r="F231" i="1"/>
  <c r="D231" i="1"/>
  <c r="H225" i="1"/>
  <c r="F225" i="1"/>
  <c r="D225" i="1"/>
  <c r="H224" i="1"/>
  <c r="F224" i="1"/>
  <c r="F68" i="1" s="1"/>
  <c r="D224" i="1"/>
  <c r="H223" i="1"/>
  <c r="F223" i="1"/>
  <c r="D223" i="1"/>
  <c r="H222" i="1"/>
  <c r="F222" i="1"/>
  <c r="D222" i="1"/>
  <c r="H221" i="1"/>
  <c r="F221" i="1"/>
  <c r="F65" i="1" s="1"/>
  <c r="D221" i="1"/>
  <c r="H213" i="1"/>
  <c r="F213" i="1"/>
  <c r="D213" i="1"/>
  <c r="D211" i="1"/>
  <c r="D207" i="1" s="1"/>
  <c r="F207" i="1"/>
  <c r="D205" i="1"/>
  <c r="D201" i="1" s="1"/>
  <c r="F201" i="1"/>
  <c r="D199" i="1"/>
  <c r="F195" i="1"/>
  <c r="D195" i="1"/>
  <c r="D193" i="1"/>
  <c r="D189" i="1" s="1"/>
  <c r="F189" i="1"/>
  <c r="D187" i="1"/>
  <c r="D183" i="1" s="1"/>
  <c r="F183" i="1"/>
  <c r="D181" i="1"/>
  <c r="D177" i="1" s="1"/>
  <c r="F177" i="1"/>
  <c r="D175" i="1"/>
  <c r="D171" i="1" s="1"/>
  <c r="F171" i="1"/>
  <c r="D169" i="1"/>
  <c r="D165" i="1" s="1"/>
  <c r="F165" i="1"/>
  <c r="D163" i="1"/>
  <c r="D159" i="1" s="1"/>
  <c r="F159" i="1"/>
  <c r="D157" i="1"/>
  <c r="F153" i="1"/>
  <c r="D153" i="1"/>
  <c r="D151" i="1"/>
  <c r="F147" i="1"/>
  <c r="D147" i="1"/>
  <c r="D145" i="1"/>
  <c r="D141" i="1" s="1"/>
  <c r="F141" i="1"/>
  <c r="D139" i="1"/>
  <c r="D135" i="1" s="1"/>
  <c r="F135" i="1"/>
  <c r="D133" i="1"/>
  <c r="D129" i="1" s="1"/>
  <c r="F129" i="1"/>
  <c r="D127" i="1"/>
  <c r="D123" i="1" s="1"/>
  <c r="F123" i="1"/>
  <c r="D121" i="1"/>
  <c r="D117" i="1" s="1"/>
  <c r="F117" i="1"/>
  <c r="D115" i="1"/>
  <c r="D111" i="1" s="1"/>
  <c r="F111" i="1"/>
  <c r="D109" i="1"/>
  <c r="F105" i="1"/>
  <c r="D105" i="1"/>
  <c r="D103" i="1"/>
  <c r="F99" i="1"/>
  <c r="D99" i="1"/>
  <c r="D97" i="1"/>
  <c r="D93" i="1" s="1"/>
  <c r="F93" i="1"/>
  <c r="D91" i="1"/>
  <c r="D87" i="1" s="1"/>
  <c r="F87" i="1"/>
  <c r="D85" i="1"/>
  <c r="F81" i="1"/>
  <c r="D81" i="1"/>
  <c r="D79" i="1"/>
  <c r="F75" i="1"/>
  <c r="D75" i="1"/>
  <c r="H74" i="1"/>
  <c r="F74" i="1"/>
  <c r="D74" i="1"/>
  <c r="D68" i="1" s="1"/>
  <c r="H73" i="1"/>
  <c r="F73" i="1"/>
  <c r="H72" i="1"/>
  <c r="F72" i="1"/>
  <c r="D72" i="1"/>
  <c r="H71" i="1"/>
  <c r="F71" i="1"/>
  <c r="D71" i="1"/>
  <c r="F66" i="1"/>
  <c r="H65" i="1"/>
  <c r="D61" i="1"/>
  <c r="H57" i="1"/>
  <c r="F57" i="1"/>
  <c r="D57" i="1"/>
  <c r="D54" i="1"/>
  <c r="D51" i="1" s="1"/>
  <c r="H51" i="1"/>
  <c r="F51" i="1"/>
  <c r="H45" i="1"/>
  <c r="F45" i="1"/>
  <c r="D45" i="1"/>
  <c r="H39" i="1"/>
  <c r="F39" i="1"/>
  <c r="D39" i="1"/>
  <c r="H33" i="1"/>
  <c r="F33" i="1"/>
  <c r="D33" i="1"/>
  <c r="H27" i="1"/>
  <c r="F27" i="1"/>
  <c r="D27" i="1"/>
  <c r="H26" i="1"/>
  <c r="F26" i="1"/>
  <c r="D26" i="1"/>
  <c r="H25" i="1"/>
  <c r="F25" i="1"/>
  <c r="D25" i="1"/>
  <c r="H24" i="1"/>
  <c r="F24" i="1"/>
  <c r="D24" i="1"/>
  <c r="D21" i="1" s="1"/>
  <c r="H23" i="1"/>
  <c r="F23" i="1"/>
  <c r="D23" i="1"/>
  <c r="D367" i="1" l="1"/>
  <c r="D369" i="1"/>
  <c r="H1541" i="1"/>
  <c r="H1539" i="1" s="1"/>
  <c r="H1545" i="1"/>
  <c r="D687" i="1"/>
  <c r="D2115" i="1"/>
  <c r="D2111" i="1"/>
  <c r="F2119" i="1"/>
  <c r="F2113" i="1" s="1"/>
  <c r="F2145" i="1"/>
  <c r="D2193" i="1"/>
  <c r="D2190" i="1"/>
  <c r="D2172" i="1" s="1"/>
  <c r="D389" i="1"/>
  <c r="D393" i="1"/>
  <c r="D602" i="1"/>
  <c r="D1207" i="1"/>
  <c r="D1329" i="1"/>
  <c r="F2175" i="1"/>
  <c r="F2171" i="1"/>
  <c r="F2169" i="1" s="1"/>
  <c r="D2247" i="1"/>
  <c r="D2245" i="1"/>
  <c r="D686" i="1"/>
  <c r="D1149" i="1"/>
  <c r="D20" i="1"/>
  <c r="H69" i="1"/>
  <c r="F67" i="1"/>
  <c r="F19" i="1" s="1"/>
  <c r="F249" i="1"/>
  <c r="D285" i="1"/>
  <c r="D279" i="1" s="1"/>
  <c r="D282" i="1"/>
  <c r="D303" i="1"/>
  <c r="D297" i="1" s="1"/>
  <c r="D351" i="1"/>
  <c r="D391" i="1"/>
  <c r="H603" i="1"/>
  <c r="H684" i="1"/>
  <c r="H600" i="1" s="1"/>
  <c r="D1203" i="1"/>
  <c r="D1413" i="1"/>
  <c r="F1983" i="1"/>
  <c r="F1975" i="1"/>
  <c r="F601" i="1" s="1"/>
  <c r="F13" i="1" s="1"/>
  <c r="H2007" i="1"/>
  <c r="F2115" i="1"/>
  <c r="H1527" i="1"/>
  <c r="H1523" i="1"/>
  <c r="H1521" i="1" s="1"/>
  <c r="F18" i="1"/>
  <c r="F684" i="1"/>
  <c r="D1119" i="1"/>
  <c r="D1116" i="1"/>
  <c r="D1113" i="1" s="1"/>
  <c r="H67" i="1"/>
  <c r="H19" i="1" s="1"/>
  <c r="F369" i="1"/>
  <c r="F393" i="1"/>
  <c r="D441" i="1"/>
  <c r="D691" i="1"/>
  <c r="D685" i="1" s="1"/>
  <c r="F2187" i="1"/>
  <c r="F1377" i="1"/>
  <c r="D1431" i="1"/>
  <c r="F1431" i="1"/>
  <c r="H1431" i="1"/>
  <c r="D1479" i="1"/>
  <c r="F1479" i="1"/>
  <c r="H1479" i="1"/>
  <c r="D1653" i="1"/>
  <c r="D2007" i="1"/>
  <c r="D2109" i="1"/>
  <c r="H2175" i="1"/>
  <c r="H2171" i="1"/>
  <c r="H2169" i="1" s="1"/>
  <c r="D2173" i="1"/>
  <c r="F2174" i="1"/>
  <c r="D2205" i="1"/>
  <c r="F2205" i="1"/>
  <c r="F1089" i="1"/>
  <c r="F1113" i="1"/>
  <c r="F441" i="1"/>
  <c r="F603" i="1"/>
  <c r="D607" i="1"/>
  <c r="D603" i="1" s="1"/>
  <c r="F687" i="1"/>
  <c r="H1203" i="1"/>
  <c r="F1341" i="1"/>
  <c r="H1341" i="1"/>
  <c r="D1341" i="1"/>
  <c r="H1395" i="1"/>
  <c r="D1395" i="1"/>
  <c r="F1395" i="1"/>
  <c r="D1449" i="1"/>
  <c r="F1449" i="1"/>
  <c r="H1449" i="1"/>
  <c r="H1491" i="1"/>
  <c r="D1491" i="1"/>
  <c r="F1491" i="1"/>
  <c r="D1527" i="1"/>
  <c r="F1527" i="1"/>
  <c r="F1653" i="1"/>
  <c r="H1857" i="1"/>
  <c r="D1861" i="1"/>
  <c r="D1651" i="1" s="1"/>
  <c r="D1647" i="1" s="1"/>
  <c r="D1971" i="1"/>
  <c r="H1975" i="1"/>
  <c r="H1971" i="1" s="1"/>
  <c r="F2007" i="1"/>
  <c r="D2139" i="1"/>
  <c r="D2151" i="1"/>
  <c r="D2241" i="1"/>
  <c r="D1089" i="1"/>
  <c r="F1203" i="1"/>
  <c r="D1377" i="1"/>
  <c r="F21" i="1"/>
  <c r="D333" i="1"/>
  <c r="H333" i="1"/>
  <c r="H20" i="1"/>
  <c r="H21" i="1"/>
  <c r="F20" i="1"/>
  <c r="F69" i="1"/>
  <c r="H66" i="1"/>
  <c r="H63" i="1" s="1"/>
  <c r="D219" i="1"/>
  <c r="F219" i="1"/>
  <c r="F237" i="1"/>
  <c r="F261" i="1"/>
  <c r="F333" i="1"/>
  <c r="H351" i="1"/>
  <c r="H393" i="1"/>
  <c r="F392" i="1"/>
  <c r="H441" i="1"/>
  <c r="H601" i="1"/>
  <c r="H13" i="1" s="1"/>
  <c r="H683" i="1"/>
  <c r="H599" i="1" s="1"/>
  <c r="F686" i="1"/>
  <c r="F1101" i="1"/>
  <c r="H1101" i="1"/>
  <c r="F1149" i="1"/>
  <c r="D1359" i="1"/>
  <c r="F1359" i="1"/>
  <c r="H1359" i="1"/>
  <c r="D1503" i="1"/>
  <c r="F1503" i="1"/>
  <c r="H1503" i="1"/>
  <c r="F1545" i="1"/>
  <c r="D1549" i="1"/>
  <c r="D1543" i="1" s="1"/>
  <c r="H2073" i="1"/>
  <c r="D2175" i="1"/>
  <c r="F2172" i="1"/>
  <c r="D2187" i="1"/>
  <c r="F2190" i="1"/>
  <c r="H2205" i="1"/>
  <c r="H2217" i="1"/>
  <c r="F2241" i="1"/>
  <c r="H2247" i="1"/>
  <c r="H2055" i="1"/>
  <c r="D66" i="1"/>
  <c r="D18" i="1" s="1"/>
  <c r="D363" i="1"/>
  <c r="F1539" i="1"/>
  <c r="F2055" i="1"/>
  <c r="F2109" i="1"/>
  <c r="F387" i="1"/>
  <c r="D387" i="1"/>
  <c r="H18" i="1"/>
  <c r="D601" i="1"/>
  <c r="H2109" i="1"/>
  <c r="F17" i="1"/>
  <c r="F602" i="1"/>
  <c r="F681" i="1"/>
  <c r="D1545" i="1"/>
  <c r="D2055" i="1"/>
  <c r="D1185" i="1"/>
  <c r="D73" i="1"/>
  <c r="D67" i="1" s="1"/>
  <c r="D19" i="1" s="1"/>
  <c r="D13" i="1" s="1"/>
  <c r="D265" i="1"/>
  <c r="D261" i="1" s="1"/>
  <c r="D321" i="1"/>
  <c r="D315" i="1" s="1"/>
  <c r="H389" i="1"/>
  <c r="H387" i="1" s="1"/>
  <c r="D453" i="1"/>
  <c r="H687" i="1"/>
  <c r="D1523" i="1"/>
  <c r="D1521" i="1" s="1"/>
  <c r="D2013" i="1"/>
  <c r="H2115" i="1"/>
  <c r="D2171" i="1"/>
  <c r="H2187" i="1"/>
  <c r="D2217" i="1"/>
  <c r="H2244" i="1"/>
  <c r="H2241" i="1" s="1"/>
  <c r="F2247" i="1"/>
  <c r="D2073" i="1"/>
  <c r="F2217" i="1"/>
  <c r="H2060" i="1"/>
  <c r="H602" i="1" s="1"/>
  <c r="H14" i="1" s="1"/>
  <c r="F2073" i="1"/>
  <c r="H17" i="1"/>
  <c r="D65" i="1"/>
  <c r="H365" i="1"/>
  <c r="H363" i="1" s="1"/>
  <c r="D1191" i="1"/>
  <c r="F1524" i="1"/>
  <c r="F1521" i="1" s="1"/>
  <c r="D1542" i="1"/>
  <c r="D1551" i="1"/>
  <c r="H2145" i="1"/>
  <c r="D2169" i="1" l="1"/>
  <c r="F63" i="1"/>
  <c r="F1971" i="1"/>
  <c r="D1857" i="1"/>
  <c r="D684" i="1"/>
  <c r="D681" i="1" s="1"/>
  <c r="F14" i="1"/>
  <c r="H681" i="1"/>
  <c r="D14" i="1"/>
  <c r="F15" i="1"/>
  <c r="M16" i="1" s="1"/>
  <c r="F11" i="1"/>
  <c r="H15" i="1"/>
  <c r="N16" i="1" s="1"/>
  <c r="H11" i="1"/>
  <c r="D1539" i="1"/>
  <c r="F600" i="1"/>
  <c r="H597" i="1"/>
  <c r="N598" i="1" s="1"/>
  <c r="D69" i="1"/>
  <c r="H12" i="1"/>
  <c r="D17" i="1"/>
  <c r="D63" i="1"/>
  <c r="D599" i="1"/>
  <c r="D600" i="1" l="1"/>
  <c r="D12" i="1" s="1"/>
  <c r="F12" i="1"/>
  <c r="F597" i="1"/>
  <c r="M598" i="1" s="1"/>
  <c r="H9" i="1"/>
  <c r="N10" i="1" s="1"/>
  <c r="D11" i="1"/>
  <c r="D9" i="1" s="1"/>
  <c r="L10" i="1" s="1"/>
  <c r="D15" i="1"/>
  <c r="L16" i="1" s="1"/>
  <c r="F9" i="1"/>
  <c r="M10" i="1" s="1"/>
  <c r="D597" i="1" l="1"/>
  <c r="L598" i="1" s="1"/>
</calcChain>
</file>

<file path=xl/sharedStrings.xml><?xml version="1.0" encoding="utf-8"?>
<sst xmlns="http://schemas.openxmlformats.org/spreadsheetml/2006/main" count="8281" uniqueCount="752">
  <si>
    <t>Приложение 2 
к муниципальной программе Калининского муниципального округа 
Тверской области "Развитие муниципальной системы образования 
Калининского муниципального округа Тверской области" 
на 2024-2029 годы"</t>
  </si>
  <si>
    <t>План реализации муниципальной программы</t>
  </si>
  <si>
    <t>"Развитие муниципальной системы образования Калининского муниципального округа Тверской области" на 2024-2029 годы"</t>
  </si>
  <si>
    <t>(наименование муниципальной программы)</t>
  </si>
  <si>
    <t>на 2025 год и плановый период 2026 и 2027 годов</t>
  </si>
  <si>
    <t>№ п/п</t>
  </si>
  <si>
    <t>Наименование подпрограмм, задач, мероприятий (административных мероприятий), операций, направленных на выполнение мероприятий (административных мероприятий) - пообъектная детализация</t>
  </si>
  <si>
    <t>Объемы и источники финансирования, тыс. руб.</t>
  </si>
  <si>
    <t>Срок реализации</t>
  </si>
  <si>
    <t>Ожидаемый результат
 (краткое описание)</t>
  </si>
  <si>
    <t>Ответственный исполнитель, соисполнитель</t>
  </si>
  <si>
    <t>2025 год</t>
  </si>
  <si>
    <t>(N+2) год</t>
  </si>
  <si>
    <t>2026 год</t>
  </si>
  <si>
    <t>2027 год</t>
  </si>
  <si>
    <t>х</t>
  </si>
  <si>
    <t>Программа, всего</t>
  </si>
  <si>
    <t>Всего</t>
  </si>
  <si>
    <t>в течение 2025 года и планового периода 2026-2027 годов</t>
  </si>
  <si>
    <t>Реализация федеральных государственных образовательных стандартов, повышение качества образования, совершенствование муниципальной системы оценки качества образования, создание условий для дополнительного образования детей, укрепление материально – технической базы муниципальных образовательных организаций.</t>
  </si>
  <si>
    <t>Управление образования, отдел архитектуры и градостроительства, муниципальные дошкольные учреждения, муниципальные общеобразовательные учреждения, учреждения дополнительного образования, МКУ "ЦОДСО Калининского муниципального округа"</t>
  </si>
  <si>
    <t>в том числе:</t>
  </si>
  <si>
    <t>ФБ</t>
  </si>
  <si>
    <t>ОБ</t>
  </si>
  <si>
    <t>МБ</t>
  </si>
  <si>
    <t>ВБС</t>
  </si>
  <si>
    <t>1</t>
  </si>
  <si>
    <t>Подпрограмма 1 "Развитие дошкольного образования"</t>
  </si>
  <si>
    <t xml:space="preserve">Всего </t>
  </si>
  <si>
    <t>Предоставление услуг направленных на охрану здоровья детей при осуществлении деятельности по воспитанию, обучению, развитию и оздоровлению, уходу и присмотру в дошкольных образовательных организациях, а также при осуществлении деятельности по уходу и присмотру</t>
  </si>
  <si>
    <t>Управление образования, муниципальные дошкольные учреждения</t>
  </si>
  <si>
    <t>1.1</t>
  </si>
  <si>
    <t xml:space="preserve">Задача 1 подпрограммы 1: "Организация предоставления общедоступного и бесплатного образования в образовательных организациях, реализующих программы дошкольного образования" </t>
  </si>
  <si>
    <t>1.1.1</t>
  </si>
  <si>
    <r>
      <rPr>
        <b/>
        <sz val="11"/>
        <rFont val="Times New Roman"/>
        <family val="1"/>
        <charset val="204"/>
      </rPr>
      <t>Мероприятие подпрограммы 1.01</t>
    </r>
    <r>
      <rPr>
        <sz val="11"/>
        <rFont val="Times New Roman"/>
        <family val="1"/>
        <charset val="204"/>
      </rPr>
      <t xml:space="preserve"> "Расходы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r>
  </si>
  <si>
    <t>1.1.2</t>
  </si>
  <si>
    <r>
      <rPr>
        <b/>
        <sz val="11"/>
        <rFont val="Times New Roman"/>
        <family val="1"/>
        <charset val="204"/>
      </rPr>
      <t>Мероприятие подпрограммы 1.02</t>
    </r>
    <r>
      <rPr>
        <sz val="11"/>
        <rFont val="Times New Roman"/>
        <family val="1"/>
        <charset val="204"/>
      </rPr>
      <t xml:space="preserve"> "Обеспечение деятельности дошкольных образовательных учреждений"</t>
    </r>
  </si>
  <si>
    <t>1.1.3</t>
  </si>
  <si>
    <r>
      <rPr>
        <b/>
        <sz val="11"/>
        <rFont val="Times New Roman"/>
        <family val="1"/>
        <charset val="204"/>
      </rPr>
      <t>Мероприятие подпрограммы 1.03</t>
    </r>
    <r>
      <rPr>
        <sz val="11"/>
        <rFont val="Times New Roman"/>
        <family val="1"/>
        <charset val="204"/>
      </rPr>
      <t xml:space="preserve"> "Обеспечение деятельности дошкольных образовательных учреждений в части предоставления коммунальных услуг "</t>
    </r>
  </si>
  <si>
    <t>1.1.4</t>
  </si>
  <si>
    <r>
      <rPr>
        <b/>
        <sz val="11"/>
        <rFont val="Times New Roman"/>
        <family val="1"/>
        <charset val="204"/>
      </rPr>
      <t>Мероприятие подпрограммы 1.04</t>
    </r>
    <r>
      <rPr>
        <sz val="11"/>
        <rFont val="Times New Roman"/>
        <family val="1"/>
        <charset val="204"/>
      </rPr>
      <t xml:space="preserve"> "Организация питания в дошкольных образовательных организациях"</t>
    </r>
  </si>
  <si>
    <t>1.1.5</t>
  </si>
  <si>
    <r>
      <rPr>
        <b/>
        <sz val="11"/>
        <rFont val="Times New Roman"/>
        <family val="1"/>
        <charset val="204"/>
      </rPr>
      <t>Мероприятие подпрограммы 1.05</t>
    </r>
    <r>
      <rPr>
        <sz val="11"/>
        <rFont val="Times New Roman"/>
        <family val="1"/>
        <charset val="204"/>
      </rPr>
      <t xml:space="preserve"> "Осуществление государственных полномочий Тверской области по предоставлению компенсации части родительской платы за присмотр и уход за ребенком в муниципальных образовательных организациях и иных образовательных организациях (за исключением государственных образовательных организаций), реализующих образовательную программу дошкольного образования"</t>
    </r>
  </si>
  <si>
    <t>1.1.6</t>
  </si>
  <si>
    <r>
      <rPr>
        <b/>
        <sz val="11"/>
        <rFont val="Times New Roman"/>
        <family val="1"/>
        <charset val="204"/>
      </rPr>
      <t xml:space="preserve">Мероприятие подпрограммы 1.06 </t>
    </r>
    <r>
      <rPr>
        <sz val="11"/>
        <rFont val="Times New Roman"/>
        <family val="1"/>
        <charset val="204"/>
      </rPr>
      <t>"Осуществление единовременной выплаты к началу учебного года работникам муниципальных образовательных организаций"</t>
    </r>
  </si>
  <si>
    <t>1.2</t>
  </si>
  <si>
    <t>Задача 2 подпрограммы 1 "Укрепление материально-технической базы образовательных учреждений, реализующих основную общеобразовательную программу дошкольного образования"</t>
  </si>
  <si>
    <t>Создание условий отвечающих требованиям санитарно-эпидемиологическим нормам, требованиям к противопожарным антитеррористическим нормам для реализации
программы дошкольного образования</t>
  </si>
  <si>
    <t>1.2.1</t>
  </si>
  <si>
    <r>
      <rPr>
        <b/>
        <sz val="11"/>
        <rFont val="Times New Roman"/>
        <family val="1"/>
        <charset val="204"/>
      </rPr>
      <t>Мероприятие подпрограммы 2.01</t>
    </r>
    <r>
      <rPr>
        <sz val="11"/>
        <rFont val="Times New Roman"/>
        <family val="1"/>
        <charset val="204"/>
      </rPr>
      <t xml:space="preserve"> "Проведение ремонта зданий и помещений, находящихся в муниципальной собственности, используемых для размещения образовательных организациях, реализующих программы дошкольного образования"</t>
    </r>
  </si>
  <si>
    <t>1.2.1.1</t>
  </si>
  <si>
    <t>МДОУ "Заборовский детский сад"
Обустройство помещения прачечной, осуществление строительного контроля</t>
  </si>
  <si>
    <t>1.2.1.2</t>
  </si>
  <si>
    <t>МДОУ "Михайловский детский сад"
Проведение ремонта в двух спальных помещений, осуществление строительного контроля</t>
  </si>
  <si>
    <t>1.2.1.3</t>
  </si>
  <si>
    <t>МДОУ "Рязановский детский сад"
Ремонт крылец (центральное крыльцо и крыльцо пищеблока), осуществление строительного контроля</t>
  </si>
  <si>
    <t>1.2.1.4</t>
  </si>
  <si>
    <t>МДОУ "Рязановский детский сад"
Текущий ремонт в спальном помещении группы раннего возраста, осуществление строительного контроля</t>
  </si>
  <si>
    <t>1.2.1.5</t>
  </si>
  <si>
    <t>МДОУ "Рязановский детский сад"
Текущий ремонт в спальном помещении подготовительной группы, осуществление строительного контроля</t>
  </si>
  <si>
    <t>1.2.1.6</t>
  </si>
  <si>
    <t>МДОУ "Рязановский детский сад"
Замена и ремонт дверных проемов</t>
  </si>
  <si>
    <t>1.2.1.7</t>
  </si>
  <si>
    <t>МДОУ "Красногорский детский сад"
Ремонт внутреннего и наружного освещения, осуществление строительного контроля</t>
  </si>
  <si>
    <t>1.2.1.8</t>
  </si>
  <si>
    <t>МДОУ "Медновский детский сад"
Ремонт крылец здания, осуществление строительного контроля</t>
  </si>
  <si>
    <t>1.2.1.9</t>
  </si>
  <si>
    <t>МДОУ "Красногорский детский сад"
Ремонт помещения медицинского кабинета, осуществление строительного контроля</t>
  </si>
  <si>
    <t>1.2.1.10</t>
  </si>
  <si>
    <t>МДОУ "Васильевский детский сад"
Ремонт помещения медицинского кабинета, осуществление строительного контроля</t>
  </si>
  <si>
    <t>1.2.1.11</t>
  </si>
  <si>
    <t>МДОУ "Рязановский детский сад"
Ремонт помещения медицинского кабинета, осуществление строительного контроля</t>
  </si>
  <si>
    <t>1.2.1.12</t>
  </si>
  <si>
    <t>МДОУ "Красногорский детский сад"
Проведение ремонта буфетных комнат</t>
  </si>
  <si>
    <t>1.2.1.13</t>
  </si>
  <si>
    <t>МДОУ "Эммаусский детский сад общеразвивающего вида"
Ремонт помещения медицинского кабинета старого здания детского сада, расположенного по адресу: п. Эммаусс, д.15 А</t>
  </si>
  <si>
    <t>1.2.1.14</t>
  </si>
  <si>
    <t>МДОУ "Заволжский детский сад "Колосок"
Ремонт помещения медицинского кабинета</t>
  </si>
  <si>
    <t>1.2.1.15</t>
  </si>
  <si>
    <t>МДОУ "Дмитрово-Черкасский детский сад"
Ремонт помещения медицинского кабинета</t>
  </si>
  <si>
    <t>1.2.1.16</t>
  </si>
  <si>
    <t>МДОУ "Кулицкий детский сад"
Ремонт помещения медицинского блока</t>
  </si>
  <si>
    <t>1.2.1.17</t>
  </si>
  <si>
    <t>МДОУ "Михайловский детский сад"
Ремонт помещения медицинского блока</t>
  </si>
  <si>
    <t>1.2.1.18</t>
  </si>
  <si>
    <t>МДОУ "Эммаусский детский сад общеразвивающего вида"
Ремонт помещения пищеблока</t>
  </si>
  <si>
    <t>1.2.1.19</t>
  </si>
  <si>
    <t>МДОУ "Квакшинский детский сад"
Замена внутренних светильников в помещении здания</t>
  </si>
  <si>
    <t>1.2.1.20</t>
  </si>
  <si>
    <t>МДОУ "Оршинский детский сад"
Ремонт детского санузла с установкой кабинок</t>
  </si>
  <si>
    <t>1.2.1.21</t>
  </si>
  <si>
    <t>МДОУ "Оршинский детский сад"
Ремонт полов в подготовительной и младших группах</t>
  </si>
  <si>
    <t>1.2.1.22</t>
  </si>
  <si>
    <t>МДОУ "Чуприяновский детский сад "Огонек"
Ремонт помещения медицинского блока</t>
  </si>
  <si>
    <t>1.2.1.23</t>
  </si>
  <si>
    <t>Нераспределенный остаток субсидий на иные цели</t>
  </si>
  <si>
    <t>1.2.2</t>
  </si>
  <si>
    <r>
      <rPr>
        <b/>
        <sz val="11"/>
        <rFont val="Times New Roman"/>
        <family val="1"/>
        <charset val="204"/>
      </rPr>
      <t>Мероприятие подпрограммы 2.02</t>
    </r>
    <r>
      <rPr>
        <sz val="11"/>
        <rFont val="Times New Roman"/>
        <family val="1"/>
        <charset val="204"/>
      </rPr>
      <t xml:space="preserve"> "Укрепление материально-технической базы образовательных учреждений, реализующих общеобразовательную программу дошкольного образования"</t>
    </r>
  </si>
  <si>
    <t>1.2.3</t>
  </si>
  <si>
    <r>
      <rPr>
        <b/>
        <sz val="11"/>
        <rFont val="Times New Roman"/>
        <family val="1"/>
        <charset val="204"/>
      </rPr>
      <t xml:space="preserve">Мероприятие подпрограммы 2.03 </t>
    </r>
    <r>
      <rPr>
        <sz val="11"/>
        <rFont val="Times New Roman"/>
        <family val="1"/>
        <charset val="204"/>
      </rPr>
      <t>"Оснащение муниципальных образовательных организаций, реализующих программы дошкольного образования, уличными игровыми комплексами"</t>
    </r>
  </si>
  <si>
    <t>в течение 2025 года</t>
  </si>
  <si>
    <t>1.2.3.1</t>
  </si>
  <si>
    <t>МДОУ "Медновский детский сад "Родничок"
Установка детской игровой площадки (уличное игровое оборудование)</t>
  </si>
  <si>
    <t>1.2.3.2</t>
  </si>
  <si>
    <t>в течение 2025 года и планового периода 2026 2027 годов</t>
  </si>
  <si>
    <t>1.2.4</t>
  </si>
  <si>
    <t>1.2.4.1</t>
  </si>
  <si>
    <t>1.2.5</t>
  </si>
  <si>
    <r>
      <rPr>
        <b/>
        <sz val="11"/>
        <rFont val="Times New Roman"/>
        <family val="1"/>
        <charset val="204"/>
      </rPr>
      <t xml:space="preserve">Мероприятие подпрограммы 2.04 </t>
    </r>
    <r>
      <rPr>
        <sz val="11"/>
        <rFont val="Times New Roman"/>
        <family val="1"/>
        <charset val="204"/>
      </rPr>
      <t>"Укрепление материально-технической базы муниципальных дошкольных образовательных организаций"</t>
    </r>
  </si>
  <si>
    <t>1.2.5.1</t>
  </si>
  <si>
    <t>1.2.6</t>
  </si>
  <si>
    <r>
      <rPr>
        <b/>
        <sz val="11"/>
        <rFont val="Times New Roman"/>
        <family val="1"/>
        <charset val="204"/>
      </rPr>
      <t xml:space="preserve">Мероприятие подпрограммы 2.05 </t>
    </r>
    <r>
      <rPr>
        <sz val="11"/>
        <rFont val="Times New Roman"/>
        <family val="1"/>
        <charset val="204"/>
      </rPr>
      <t>"Реализация мероприятий, направленных на обновление и благоустройство территорий муниципальных образовательных организаций, реализующих программу дошкольного образования"</t>
    </r>
  </si>
  <si>
    <t>1.2.6.1</t>
  </si>
  <si>
    <t>МДОУ "Оршинский детский сад"
Разработка проектно-сметной документации на капитальный ремонт асфальтового покрытия на территории учреждения</t>
  </si>
  <si>
    <t>1.2.6.2</t>
  </si>
  <si>
    <t>1.2.7</t>
  </si>
  <si>
    <r>
      <rPr>
        <b/>
        <sz val="11"/>
        <rFont val="Times New Roman"/>
        <family val="1"/>
        <charset val="204"/>
      </rPr>
      <t xml:space="preserve">Мероприятие подпрограммы 2.06 </t>
    </r>
    <r>
      <rPr>
        <sz val="11"/>
        <rFont val="Times New Roman"/>
        <family val="1"/>
        <charset val="204"/>
      </rPr>
      <t>"Реализация программ по поддержке местных инициатив в Тверской области. Обустройство спортивной площадки на территории МДОУ "Рязановский детский сад" Калининского округа Тверской области"</t>
    </r>
  </si>
  <si>
    <t>1.2.7.1</t>
  </si>
  <si>
    <t>МДОУ "Рязановский детский сад"
Обустройство спортивной площадки на территории МДОУ "Рязановский детский сад" Калининского округа Тверской области", осуществление строительного контроля</t>
  </si>
  <si>
    <t>1.2.7.2</t>
  </si>
  <si>
    <t>1.2.8</t>
  </si>
  <si>
    <r>
      <rPr>
        <b/>
        <sz val="11"/>
        <rFont val="Times New Roman"/>
        <family val="1"/>
        <charset val="204"/>
      </rPr>
      <t>Мероприятие подпрограммы 2.07</t>
    </r>
    <r>
      <rPr>
        <sz val="11"/>
        <rFont val="Times New Roman"/>
        <family val="1"/>
        <charset val="204"/>
      </rPr>
      <t xml:space="preserve"> "Реализация программ по поддержке местных инициатив в Тверской области. Благоустройство детской площадки в МДОУ "Кулицкий детский сад" Калининского округа Тверской области (младшая группа)"</t>
    </r>
  </si>
  <si>
    <t>1.2.8.1</t>
  </si>
  <si>
    <t>МДОУ "Кулицкий детский сад"
Благоустройство детской площадки в МДОУ "Кулицкий детский сад" Калининского округа Тверской области (младшая группа), осуществление строительного контроля</t>
  </si>
  <si>
    <t>1.2.8.2</t>
  </si>
  <si>
    <t>1.2.9</t>
  </si>
  <si>
    <r>
      <rPr>
        <b/>
        <sz val="11"/>
        <rFont val="Times New Roman"/>
        <family val="1"/>
        <charset val="204"/>
      </rPr>
      <t>Мероприятие подпрограммы 2.08</t>
    </r>
    <r>
      <rPr>
        <sz val="11"/>
        <rFont val="Times New Roman"/>
        <family val="1"/>
        <charset val="204"/>
      </rPr>
      <t xml:space="preserve"> "Реализация программ по поддержке местных инициатив в Тверской области. Благоустройство детской площадки в МДОУ "Кулицкий детский сад" Калининского округа Тверской области (старшая группа)"</t>
    </r>
  </si>
  <si>
    <t>1.2.9.1</t>
  </si>
  <si>
    <t>МДОУ "Кулицкий детский сад"
Благоустройство детской площадки в МДОУ "Кулицкий детский сад" Калининского округа Тверской области (старшая группа)", осуществление строительного контроля</t>
  </si>
  <si>
    <t>1.2.9.2</t>
  </si>
  <si>
    <t>1.2.10</t>
  </si>
  <si>
    <r>
      <rPr>
        <b/>
        <sz val="11"/>
        <rFont val="Times New Roman"/>
        <family val="1"/>
        <charset val="204"/>
      </rPr>
      <t>Мероприятие подпрограммы 2.09</t>
    </r>
    <r>
      <rPr>
        <sz val="11"/>
        <rFont val="Times New Roman"/>
        <family val="1"/>
        <charset val="204"/>
      </rPr>
      <t xml:space="preserve"> "Реализация мероприятий, направленных для достижения запланированных значений показателей доступности для инвалидов объектов и услуг образования в образовательных организациях, реализующих программы дошкольного образования"</t>
    </r>
  </si>
  <si>
    <t>1.2.10.1</t>
  </si>
  <si>
    <t>МДОУ "Михайловский детский сад"
Комплексная тактильная табличка с шрифтом Брайля (20 шт.)</t>
  </si>
  <si>
    <t>1.2.10.2</t>
  </si>
  <si>
    <t>1.2.11</t>
  </si>
  <si>
    <r>
      <t xml:space="preserve">Мероприятие подпрограммы 2.10 </t>
    </r>
    <r>
      <rPr>
        <sz val="11"/>
        <rFont val="Times New Roman"/>
        <family val="1"/>
        <charset val="204"/>
      </rPr>
      <t>"Расходы на реализацию программы по поддержке местных инициатив"</t>
    </r>
  </si>
  <si>
    <t>1.2.11.1</t>
  </si>
  <si>
    <t>1.3</t>
  </si>
  <si>
    <t xml:space="preserve">Задача 3 "Комплексные мероприятия в области энергосбережения и повышения энергетической эффективности в образовательных организациях, реализующих программы дошкольного образования" </t>
  </si>
  <si>
    <t>1.3.1</t>
  </si>
  <si>
    <t>Мероприятие подпрограммы 3.01 "Модернизация конструкции и инженерных систем зданий дошкольных образовательных учреждений"</t>
  </si>
  <si>
    <t>1.3.1.1</t>
  </si>
  <si>
    <t>МДОУ "Красногорский детский сад"
Услуги по ремонту теплосчетчика ТЭМ -104 в здании МДОУ "Красногорский детский сад"</t>
  </si>
  <si>
    <t>1.3.1.2</t>
  </si>
  <si>
    <t>1.4</t>
  </si>
  <si>
    <t>Задача 4 подпрограммы 1 "Комплексная безопасность образовательных организаций, реализующих программы дошкольного образования"</t>
  </si>
  <si>
    <t>1.4.1</t>
  </si>
  <si>
    <r>
      <rPr>
        <b/>
        <sz val="11"/>
        <rFont val="Times New Roman"/>
        <family val="1"/>
        <charset val="204"/>
      </rPr>
      <t>Мероприятие подпрограммы 4.01</t>
    </r>
    <r>
      <rPr>
        <sz val="11"/>
        <rFont val="Times New Roman"/>
        <family val="1"/>
        <charset val="204"/>
      </rPr>
      <t xml:space="preserve"> "Осуществление комплекса мер по противопожарной безопасности"</t>
    </r>
  </si>
  <si>
    <t>1.4.1.1</t>
  </si>
  <si>
    <t xml:space="preserve">Субсидии на финансовое обеспечение выполнения муниципального задания </t>
  </si>
  <si>
    <t>1.4.1.2</t>
  </si>
  <si>
    <t>МДОУ "Никулинский детский сад"
Монтаж системы автоматической пожарной сигнализации и системы оповещения и управления эвакуацией людей при пожаре на объекте</t>
  </si>
  <si>
    <t>1.4.1.3</t>
  </si>
  <si>
    <t>МДОУ "Васильевский детский сад"
Монтаж системы автоматической пожарной сигнализации и системы оповещения и управления эвакуацией людей при пожаре на объекте</t>
  </si>
  <si>
    <t>1.4.1.4</t>
  </si>
  <si>
    <t>МДОУ "Эммаусский детский сад общеразвивающего вида"
Замена объектовой станции радиосистемы передачи извещений "Стрелец-Мониторинг"</t>
  </si>
  <si>
    <t>1.4.1.5</t>
  </si>
  <si>
    <t>МДОУ "Дмитрово-Черкасский детский сад"
Приобретение и установка двери для входной группы центрального входа, являющимся запасным эвакуационным выходом</t>
  </si>
  <si>
    <t>1.4.1.6</t>
  </si>
  <si>
    <t xml:space="preserve">МДОУ "Заборовский детский сад"
Замена объектовой станции радиосистемы передачи извещений "Стрелец-Мониторинг", Разработка проектно-сметной документации на капитальный ремонт автоматической пожарной сигнализации </t>
  </si>
  <si>
    <t>1.4.1.7</t>
  </si>
  <si>
    <t>1.4.2</t>
  </si>
  <si>
    <r>
      <rPr>
        <b/>
        <sz val="11"/>
        <rFont val="Times New Roman"/>
        <family val="1"/>
        <charset val="204"/>
      </rPr>
      <t xml:space="preserve">Мероприятие подпрограммы 4.02 </t>
    </r>
    <r>
      <rPr>
        <sz val="11"/>
        <rFont val="Times New Roman"/>
        <family val="1"/>
        <charset val="204"/>
      </rPr>
      <t>"Осуществление комплекса мер по антитеррористической безопасности"</t>
    </r>
  </si>
  <si>
    <t>1.4.2.1</t>
  </si>
  <si>
    <t>1.4.2.2</t>
  </si>
  <si>
    <t xml:space="preserve">МДОУ "Красногорский детский сад"
Монтаж системы оповещения и управление эвакуацией людей в здании учреждения </t>
  </si>
  <si>
    <t>1.4.2.3</t>
  </si>
  <si>
    <t>МДОУ "Эммаусский детский сад"
Монтаж системы оповещения и управление эвакуацией людей в здании учреждения по адресу п. Эммаусс , д. 15А</t>
  </si>
  <si>
    <t>1.4.2.4</t>
  </si>
  <si>
    <t>МДОУ "Кулицкий детский сад"
Монтаж системы оповещения и управление эвакуацией людей при потенциальной угрозе возникновения или возникновении ЧС на объекте</t>
  </si>
  <si>
    <t>1.4.2.5</t>
  </si>
  <si>
    <t>МДОУ "Дмитрово-Черкасский детский сад"
Разработка проектно-сметной документации на замену ограждения территории МДОУ "Дмитрово-Черкасский детский сад"</t>
  </si>
  <si>
    <t>1.4.2.6</t>
  </si>
  <si>
    <t>МДОУ "Заволжский детский сад "Колосок"
Монтаж системы видеонаблюдения</t>
  </si>
  <si>
    <t>1.4.2.7</t>
  </si>
  <si>
    <t>МДОУ "Никулинский детский сад"
Монтаж системы оповещения и управления эвакуацией людей при потенциальной угрозе возникновения чрезвычайной ситуации</t>
  </si>
  <si>
    <t>1.4.2.8</t>
  </si>
  <si>
    <t>МДОУ "Медновский детский сад"
Приобретение и установка металлической двери</t>
  </si>
  <si>
    <t>1.4.2.9</t>
  </si>
  <si>
    <t>МДОУ "Бурашевский детский сад"
Установка системы автоматики ворот и системы контроля доступа по адресу ул. Лесная, д. 41А</t>
  </si>
  <si>
    <t>1.4.2.10</t>
  </si>
  <si>
    <t>МДОУ "Заволжский детский сад "Колосок"
Монтаж системы СОУЭ о потенциальной угрозе возникновения чрезвычайной ситуации</t>
  </si>
  <si>
    <t>1.4.2.11</t>
  </si>
  <si>
    <t>МДОУ "Чуприяновский детский сад "Огонек"
Ремонт домофона на входной калитке</t>
  </si>
  <si>
    <t>1.4.2.12</t>
  </si>
  <si>
    <t>МДОУ "Дмитрово-Черкасский детский сад"
Проектная документация на монтаж системы СОУЭ о потенциальной угрозе возникновения чрезвычайной ситуации</t>
  </si>
  <si>
    <t>1.4.2.13</t>
  </si>
  <si>
    <t>МДОУ "Дмитрово-Черкасский детский сад"
Монтаж системы СОУЭ о потенциальной угрозе возникновения чрезвычайной ситуации</t>
  </si>
  <si>
    <t>1.4.2.14</t>
  </si>
  <si>
    <t>МДОУ "Дмитрово-Черкасский детский сад"
Ремонт ограждения территории МДОУ "Дмитрово-Черкасский детский сад"</t>
  </si>
  <si>
    <t>1.4.2.15</t>
  </si>
  <si>
    <t>МДОУ "Загородный детский сад"
Ремонт ограждения территории МДОУ "Загородный детский сад"</t>
  </si>
  <si>
    <t>1.4.2.16</t>
  </si>
  <si>
    <t>МДОУ "Загородный детский сад"
Проектно-сметная документация на монтаж системы СОУЭ о потенциальной угрозе возникновения чрезвычайной ситуации</t>
  </si>
  <si>
    <t>1.4.2.17</t>
  </si>
  <si>
    <t>МДОУ "Васильевский детский сад"
Проектно-сметная документация на монтаж системы СОУЭ о потенциальной угрозе возникновения чрезвычайной ситуации</t>
  </si>
  <si>
    <t>1.4.2.18</t>
  </si>
  <si>
    <t>МДОУ "Бурашевский детский сад"
Проектно-сметная документация на монтаж системы СОУЭ о потенциальной угрозе возникновения чрезвычайной ситуации</t>
  </si>
  <si>
    <t>1.4.2.19</t>
  </si>
  <si>
    <t>МДОУ "Медновский детский сад"
Проектно-сметная документация на монтаж системы СОУЭ о потенциальной угрозе возникновения чрезвычайной ситуации</t>
  </si>
  <si>
    <t>1.4.2.20</t>
  </si>
  <si>
    <t>МДОУ "Медновский детский сад Родничок"
Проектно-сметная документация на монтаж системы СОУЭ о потенциальной угрозе возникновения чрезвычайной ситуации</t>
  </si>
  <si>
    <t>1.4.2.21</t>
  </si>
  <si>
    <t>МДОУ "Чуприяновский детский сад "Огонек"
Проектно-сметная документация на монтаж системы СОУЭ о потенциальной угрозе возникновения чрезвычайной ситуации</t>
  </si>
  <si>
    <t>1.4.2.22</t>
  </si>
  <si>
    <t>МДОУ "Заборовский детский сад"
Проектно-сметная документация на монтаж системы СОУЭ о потенциальной угрозе возникновения чрезвычайной ситуации</t>
  </si>
  <si>
    <t>1.4.2.23</t>
  </si>
  <si>
    <t>МДОУ "Заволжский детский сад "Колосок"
Разработка проектно-сметной документации на монтаж системы оповещения (СОУЭ) при угрозе возникновения чрезвычайной ситуации (2 здания)</t>
  </si>
  <si>
    <t>МДОУ "Квакшинский детский сад"
Разработка проектно-сметной документации на монтаж системы оповещения (СОУЭ) при угрозе возникновения чрезвычайной ситуации (2 здания)</t>
  </si>
  <si>
    <t>1.4.2.24</t>
  </si>
  <si>
    <t>2</t>
  </si>
  <si>
    <t xml:space="preserve">Подпрограмма 2 "Развитие общего образования" </t>
  </si>
  <si>
    <t>1 Реализация основных общеобразовательных программ начального общего образования.
2. Реализация основных общеобразовательных программ основного общего образования.
3. Реализация основных общеобразовательных программ среднего общего образования.</t>
  </si>
  <si>
    <t>Управление образования, муниципальные общеобразовательные учреждения</t>
  </si>
  <si>
    <t>2.1</t>
  </si>
  <si>
    <t>Задача 1 подпрограммы 2 "Организация предоставления общедоступного и бесплатного образования в общеобразовательных организациях, реализующих программы дошкольного, общего образования"</t>
  </si>
  <si>
    <t>2.1.1</t>
  </si>
  <si>
    <r>
      <rPr>
        <b/>
        <sz val="11"/>
        <rFont val="Times New Roman"/>
        <family val="1"/>
        <charset val="204"/>
      </rPr>
      <t xml:space="preserve">Мероприятие подпрограммы 1.01 </t>
    </r>
    <r>
      <rPr>
        <sz val="11"/>
        <rFont val="Times New Roman"/>
        <family val="1"/>
        <charset val="204"/>
      </rPr>
      <t>"Расходы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r>
  </si>
  <si>
    <t>2.1.2</t>
  </si>
  <si>
    <r>
      <rPr>
        <b/>
        <sz val="11"/>
        <rFont val="Times New Roman"/>
        <family val="1"/>
        <charset val="204"/>
      </rPr>
      <t>Мероприятие подпрограммы 1.02</t>
    </r>
    <r>
      <rPr>
        <sz val="11"/>
        <rFont val="Times New Roman"/>
        <family val="1"/>
        <charset val="204"/>
      </rPr>
      <t xml:space="preserve"> "Обеспечение деятельности общеобразовательных учреждений" </t>
    </r>
  </si>
  <si>
    <t>2.1.3</t>
  </si>
  <si>
    <r>
      <rPr>
        <b/>
        <sz val="11"/>
        <rFont val="Times New Roman"/>
        <family val="1"/>
        <charset val="204"/>
      </rPr>
      <t>Мероприятие подпрограммы 1.03</t>
    </r>
    <r>
      <rPr>
        <sz val="11"/>
        <rFont val="Times New Roman"/>
        <family val="1"/>
        <charset val="204"/>
      </rPr>
      <t xml:space="preserve"> "Обеспечение деятельности общеобразовательных учреждений в части предоставления коммунальных услуг" </t>
    </r>
  </si>
  <si>
    <t>2.1.4</t>
  </si>
  <si>
    <r>
      <rPr>
        <b/>
        <sz val="11"/>
        <rFont val="Times New Roman"/>
        <family val="1"/>
        <charset val="204"/>
      </rPr>
      <t>Мероприятие подпрограммы 1.04</t>
    </r>
    <r>
      <rPr>
        <sz val="11"/>
        <rFont val="Times New Roman"/>
        <family val="1"/>
        <charset val="204"/>
      </rPr>
      <t xml:space="preserve"> "Организация питания в общеобразовательных учреждениях"</t>
    </r>
  </si>
  <si>
    <t>2.1.5</t>
  </si>
  <si>
    <r>
      <rPr>
        <b/>
        <sz val="11"/>
        <rFont val="Times New Roman"/>
        <family val="1"/>
        <charset val="204"/>
      </rPr>
      <t xml:space="preserve">Мероприятие подпрограммы 1.05 </t>
    </r>
    <r>
      <rPr>
        <sz val="11"/>
        <rFont val="Times New Roman"/>
        <family val="1"/>
        <charset val="204"/>
      </rPr>
      <t>"Укрепление материально-технической базы образовательных учреждений, реализующих основную программу общего образования"</t>
    </r>
  </si>
  <si>
    <t>2.1.6</t>
  </si>
  <si>
    <r>
      <rPr>
        <b/>
        <sz val="11"/>
        <rFont val="Times New Roman"/>
        <family val="1"/>
        <charset val="204"/>
      </rPr>
      <t>Мероприятие подпрограммы 1.06</t>
    </r>
    <r>
      <rPr>
        <sz val="11"/>
        <rFont val="Times New Roman"/>
        <family val="1"/>
        <charset val="204"/>
      </rPr>
      <t xml:space="preserve"> "Выплата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r>
  </si>
  <si>
    <t>2.1.7</t>
  </si>
  <si>
    <r>
      <rPr>
        <b/>
        <sz val="11"/>
        <rFont val="Times New Roman"/>
        <family val="1"/>
        <charset val="204"/>
      </rPr>
      <t>Мероприятие подпрограммы 1.07</t>
    </r>
    <r>
      <rPr>
        <sz val="11"/>
        <rFont val="Times New Roman"/>
        <family val="1"/>
        <charset val="204"/>
      </rPr>
      <t xml:space="preserve"> "Осуществление единовременной выплаты к началу учебного года работникам муниципальных образовательных организаций"</t>
    </r>
  </si>
  <si>
    <t>2.1.8</t>
  </si>
  <si>
    <r>
      <rPr>
        <b/>
        <sz val="11"/>
        <rFont val="Times New Roman"/>
        <family val="1"/>
        <charset val="204"/>
      </rPr>
      <t>Мероприятие подпрограммы 1.09</t>
    </r>
    <r>
      <rPr>
        <sz val="11"/>
        <rFont val="Times New Roman"/>
        <family val="1"/>
        <charset val="204"/>
      </rPr>
      <t xml:space="preserve"> "Проведение мероприятий, направленных на создание условий для реализации модели профессиональной работы в общеобразовательных организациях"</t>
    </r>
  </si>
  <si>
    <t>2.1.9</t>
  </si>
  <si>
    <r>
      <rPr>
        <b/>
        <sz val="11"/>
        <rFont val="Times New Roman"/>
        <family val="1"/>
        <charset val="204"/>
      </rPr>
      <t>Мероприятие подпрограммы 1.11</t>
    </r>
    <r>
      <rPr>
        <sz val="11"/>
        <rFont val="Times New Roman"/>
        <family val="1"/>
        <charset val="204"/>
      </rPr>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r>
  </si>
  <si>
    <t>2.2</t>
  </si>
  <si>
    <t>Задача Ю 6 "Региональный проект "Педагоги и наставники" в рамках национального проекта "Молодежь и дети"</t>
  </si>
  <si>
    <t>2.2.1</t>
  </si>
  <si>
    <r>
      <rPr>
        <b/>
        <sz val="11"/>
        <rFont val="Times New Roman"/>
        <family val="1"/>
        <charset val="204"/>
      </rPr>
      <t>Мероприятие подпрограммы 1.12</t>
    </r>
    <r>
      <rPr>
        <sz val="11"/>
        <rFont val="Times New Roman"/>
        <family val="1"/>
        <charset val="204"/>
      </rPr>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r>
  </si>
  <si>
    <t>2.2.2</t>
  </si>
  <si>
    <r>
      <rPr>
        <b/>
        <sz val="11"/>
        <rFont val="Times New Roman"/>
        <family val="1"/>
        <charset val="204"/>
      </rPr>
      <t>Мероприятие подпрограммы 1.13</t>
    </r>
    <r>
      <rPr>
        <sz val="11"/>
        <rFont val="Times New Roman"/>
        <family val="1"/>
        <charset val="204"/>
      </rPr>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t>
    </r>
  </si>
  <si>
    <t>2.3</t>
  </si>
  <si>
    <t>Задача 2 подпрограммы 2 "Развитие инфраструктуры муниципальных общеобразовательных учреждений Калининского муниципального округа Тверской области в соответствии с требованиями действующего законодательства"</t>
  </si>
  <si>
    <t>Создание условий отвечающих требованиям санитарно-эпидемиологическим нормам, требованиям к противопожарным антитеррористическим нормам для реализации
 основных общеобразовательных программ начального общего образования
 основных общеобразовательных программ основного общего образования
основных общеобразовательных программ среднего общего образования
дополнительных образовательных программ по направленностям:
 - физкультурно-спортивной
 - художественной
 - естественно – научной
 - социально – педагогической
- коррекционно-развивающая, компенсирующая и логопедическая помощь обучающимся.
Создание условий для внедрения к 2027 году современной и безопасной цифровой
образовательной среды, обеспечивающей
формирование ценности к саморазвитию и
самообразованию у обучающихся
образовательных организаций всех видов и уровней, путем обновления
информационно-коммуникационной
инфраструктуры, подготовки кадров, проведение капитальных ремонтов помещений для открытия центров Точка Роста</t>
  </si>
  <si>
    <t>2.3.1</t>
  </si>
  <si>
    <r>
      <rPr>
        <b/>
        <sz val="11"/>
        <rFont val="Times New Roman"/>
        <family val="1"/>
        <charset val="204"/>
      </rPr>
      <t>Мероприятие подпрограммы 2.01</t>
    </r>
    <r>
      <rPr>
        <sz val="11"/>
        <rFont val="Times New Roman"/>
        <family val="1"/>
        <charset val="204"/>
      </rPr>
      <t xml:space="preserve"> "Ремонт зданий и помещений, находящихся в муниципальной собственности и используемых для размещения общеобразовательных учреждений"</t>
    </r>
  </si>
  <si>
    <t>2.3.1.1</t>
  </si>
  <si>
    <t>МОУ "Квакшинская СОШ"
Капитальный ремонт кровли, проведение проверки достоверности определения сметной стоимости в ГАУ экспертизе Тверской области по объекту капитальный ремонт кровли здания, осуществление строительного контроля, пересчёт, составление проектной документации и сопровождение для получения заключения</t>
  </si>
  <si>
    <t xml:space="preserve">в течение 2025 года </t>
  </si>
  <si>
    <t>2.3.1.2</t>
  </si>
  <si>
    <t>МОУ "Колталовская СОШ"
Ремонт потолков и стен в помещениях Колталовского детского сада, строительный контроль</t>
  </si>
  <si>
    <t>2.3.1.3</t>
  </si>
  <si>
    <t>МОУ "Колталовская СОШ"
Ремонт кабинета 1 класса в здании школы</t>
  </si>
  <si>
    <t>2.3.1.4</t>
  </si>
  <si>
    <t>МОУ "Колталовская СОШ"
Прокладка канализационной трубы</t>
  </si>
  <si>
    <t>2.3.1.5</t>
  </si>
  <si>
    <t>МОУ "Колталовская СОШ"
Замена линолеума с подложкой в коридорах (школа)</t>
  </si>
  <si>
    <t>2.3.1.6</t>
  </si>
  <si>
    <t>МОУ "Медновская СОШ"
Обмерные работы по объекту "Капитальный ремонт основного здания филиала МОУ "Медновская СОШ" "Октябрьская СОШ им С.Я. Лемешева", Обмерные работы по объекту "Капитальный ремонт здания интерната филиала МОУ "Медновская СОШ" "Октябрьская СОШ им С.Я. Лемешева", разработка проектной документации по объекту "Капитальный ремонт основного здания филиала МОУ "Медновская СОШ" "Октябрьская СОШ им С.Я. Лемешева", разработка проектной документации по объекту "Капитальный ремонт здания интерната филиала МОУ "Медновская СОШ" "Октябрьская СОШ им С.Я. Лемешева", разработка сметной документации по объекту "Капитальный ремонт основного здания филиала МОУ "Медновская СОШ" "Октябрьская СОШ им С.Я. Лемешева", разработка сметной документации по объекту "Капитальный ремонт здания интерната филиала МОУ "Медновская СОШ" "Октябрьская СОШ им С.Я. Лемешева", проведение государственной экспертизы проектной документации на капитальный ремонт МОУ "Октябрьская СОШ им. С.Я. Лемешева филиала МОУ "Медновская СОШ"</t>
  </si>
  <si>
    <t>2.3.1.7</t>
  </si>
  <si>
    <t>МОУ "Никольская НОШ"
Ремонт кровли здания</t>
  </si>
  <si>
    <t>2.3.1.8</t>
  </si>
  <si>
    <t>МОУ "Никулинская СОШ"
Частичные ремонт кровли</t>
  </si>
  <si>
    <t>2.3.1.9</t>
  </si>
  <si>
    <t>МОУ "Оршинская СОШ"
Монтаж системы горячего водоснабжения в кабинетах начальных классов</t>
  </si>
  <si>
    <t>2.3.1.10</t>
  </si>
  <si>
    <t>МОУ "Пушкинская СОШ"
Ремонт отмостки здания (школа), осуществление строительного контроля</t>
  </si>
  <si>
    <t>2.3.1.11</t>
  </si>
  <si>
    <t>МОУ "Рождественская СОШ"
Замена светильников внутреннего освещения в здании МОУ "Рождественская СОШ" и филиалах</t>
  </si>
  <si>
    <t>2.3.1.12</t>
  </si>
  <si>
    <t xml:space="preserve">МОУ "Пушкинская СОШ"
Ремонт крылец (3 шт.) здания Пушкинского детского сада </t>
  </si>
  <si>
    <t>2.3.1.13</t>
  </si>
  <si>
    <t>МОУ "Заволжская СОШ им. П.П. Смирнова"
Капитальный ремонт кабинета технологии мальчиков с монтажом приточно-вытяжной вентиляции, осуществление строительного контроля</t>
  </si>
  <si>
    <t>2.3.1.14</t>
  </si>
  <si>
    <t>МОУ "Заволжская СОШ им. П.П. Смирнова"
Ремонт напольного покрытия в коридоре 1 этажа и укладка плитки в коридорах</t>
  </si>
  <si>
    <t>2.3.1.15</t>
  </si>
  <si>
    <t>МОУ "Некрасовская СОШ им. А.А.Лукьянова"
Капитальный ремонт мягкой кровли правого крыла здания, осуществление строительного контроля, ремонт примыкания спортзала и выхода на кровлю</t>
  </si>
  <si>
    <t>2.3.1.16</t>
  </si>
  <si>
    <t>МОУ "Некрасовская СОШ им. А.А.Лукьянова"
Ремонт пола в 4 классе</t>
  </si>
  <si>
    <t>2.3.1.17</t>
  </si>
  <si>
    <t>МОУ "Пушкинская СОШ"
Ремонт внутреннего электроснабжения в здании Пушкинского детского сада филиала МОУ "Пушкинская СОШ"</t>
  </si>
  <si>
    <t>2.3.1.18</t>
  </si>
  <si>
    <t>МОУ "Пушкинская СОШ"
Ремонт внутреннего электроснабжения в здании МОУ "Пушкинская СОШ", осуществление строительного контроля</t>
  </si>
  <si>
    <t>2.3.1.19</t>
  </si>
  <si>
    <t>МОУ "Пушкинская СОШ"
Замена линолеума в коридорах и рекреациях 1-го и 2-го этажей в здании школы</t>
  </si>
  <si>
    <t>2.3.1.20</t>
  </si>
  <si>
    <t>МОУ "Суховерковская СОШ"
Ремонт отмостки здания (сад)</t>
  </si>
  <si>
    <t>2.3.1.21</t>
  </si>
  <si>
    <t>МОУ "Колталовская СОШ"
Текущий ремонт по замене осветительных приборов в помещениях здания детского сада</t>
  </si>
  <si>
    <t>2.3.1.22</t>
  </si>
  <si>
    <t>МОУ "Некрасовская СОШ им. А.А.Лукьянова"
Разработка проектно-сметной документации на капитальный ремонт сетей внутреннего электроснабжения помещения кухни</t>
  </si>
  <si>
    <t>2.3.1.23</t>
  </si>
  <si>
    <t>МОУ "Заволжская СОШ им. П.П. Смирнова"
Ремонт центрального крыльца здания, осуществление строительного контроля</t>
  </si>
  <si>
    <t>2.3.1.24</t>
  </si>
  <si>
    <t>МОУ "Большеборковская СОШ"
Ремонт спортивного зала, осуществление строительного контроля</t>
  </si>
  <si>
    <t>2.3.1.25</t>
  </si>
  <si>
    <t>МОУ "Большеборковская СОШ"
Ремонт туалетов, осуществление строительного контроля</t>
  </si>
  <si>
    <t>2.3.1.26</t>
  </si>
  <si>
    <t>МОУ "Черногубовская ООШ"
Разработка проектно-сметной документации на капитальный ремонт кровли здания школы</t>
  </si>
  <si>
    <t>2.3.1.27</t>
  </si>
  <si>
    <t xml:space="preserve">МОУ "Бурашевская СОШ"
Ремонт актового зала, проведение строительного контроля </t>
  </si>
  <si>
    <t>2.3.1.28</t>
  </si>
  <si>
    <t>МОУ "Медновская СОШ"
Устройство кровельного покрытия здания МОУ "Октябрьская СОШ им. С.Я. Лемешева филиала МОУ "Медновская СОШ"</t>
  </si>
  <si>
    <t>2.3.1.29</t>
  </si>
  <si>
    <t>МОУ "Черногубовская ООШ"
Ремонт пищеблока, осуществление строительного контроля</t>
  </si>
  <si>
    <t>2.3.1.30</t>
  </si>
  <si>
    <t>МОУ "Квакшинская СОШ"
Переоборудование освещения в здании школы</t>
  </si>
  <si>
    <t>2.3.1.31</t>
  </si>
  <si>
    <t>МОУ "Рождественская СОШ"
Ремонт медицинского кабинета в здании МОУ "Рождественская СОШ"</t>
  </si>
  <si>
    <t>2.3.1.32</t>
  </si>
  <si>
    <t xml:space="preserve">МОУ "Бурашевская СОШ"
Ремонт стен спортивного зала </t>
  </si>
  <si>
    <t>2.3.1.33</t>
  </si>
  <si>
    <t>МОУ "Медновская СОШ"
Капитальный ремонт здания</t>
  </si>
  <si>
    <t>2.3.1.34</t>
  </si>
  <si>
    <t>МОУ "Васильевская СОШ"
Капитальный ремонт кровли, проведение проверки достоверности определения сметной стоимости в ГАУ экспертизе Тверской области по объекту капитальный ремонт кровли здания, осуществление строительного контроля, пересчёт, составление проектной документации и сопровождение для получения заключения</t>
  </si>
  <si>
    <t>2.3.1.35</t>
  </si>
  <si>
    <t>МОУ "Тверская СОШ имени Маршала Советского Союза И.С. Конева"
Ремонт лестничных клеток на 1 и 2 этажах</t>
  </si>
  <si>
    <t>2.3.1.36</t>
  </si>
  <si>
    <t>МОУ "Тверская СОШ имени Маршала Советского Союза И.С. Конева"
Ремонт кабинета № 11 (по техпаспорту)</t>
  </si>
  <si>
    <t>2.3.1.37</t>
  </si>
  <si>
    <t>МОУ "Никольская НОШ"
Ремонт помещения медицинского кабинета</t>
  </si>
  <si>
    <t>2.3.1.38</t>
  </si>
  <si>
    <t>МОУ "Квакшинская СОШ"
Ремонт помещения медицинского кабинета в здании школы</t>
  </si>
  <si>
    <t>2.3.1.39</t>
  </si>
  <si>
    <t>МОУ "Горютинская СОШ"
Ремонт помещения медицинского блока в здании Аввакумовский детский сад филиал МОУ "Горютинская СОШ"</t>
  </si>
  <si>
    <t>2.3.1.40</t>
  </si>
  <si>
    <t>МОУ "Горютинская СОШ"
Ремонт помещения медицинского кабинета в здании школы</t>
  </si>
  <si>
    <t>2.3.1.41</t>
  </si>
  <si>
    <t>МОУ "Эммаусская СОШ"
Ремонт помещения медицинского кабинета в здании школы</t>
  </si>
  <si>
    <t>2.3.1.42</t>
  </si>
  <si>
    <t>МОУ "Славновская ООШ"
Ремонт помещения медицинского кабинета в здании школы</t>
  </si>
  <si>
    <t>2.3.1.43</t>
  </si>
  <si>
    <t>МОУ "Тверская СОШ имени Маршала Советского Союза И.С. Конева"
Ремонт медицинского кабинета</t>
  </si>
  <si>
    <t>2.3.1.44</t>
  </si>
  <si>
    <t>МОУ "Черногубовская ООШ"
Ремонт медицинского кабинета</t>
  </si>
  <si>
    <t>2.3.1.45</t>
  </si>
  <si>
    <t>МОУ "Горютинская СОШ"
Ремонт санузла 1 этажа и 2 этажа в здании Аввакумовский детский сад филиал МОУ "Горютинская СОШ"</t>
  </si>
  <si>
    <t>2.3.1.46</t>
  </si>
  <si>
    <t>МОУ "Михайловская СОШ"
Ремонт санузлов на 1-ом и 2-ом этажах зданиях</t>
  </si>
  <si>
    <t>2.3.1.47</t>
  </si>
  <si>
    <t>МОУ "Заволжская СОШ им. П. П. Смирнова"
Ремонт туалетов на 2 этаже (2 блока) на 3 этаже (1 блок)</t>
  </si>
  <si>
    <t>2.3.1.48</t>
  </si>
  <si>
    <t>МОУ "Михайловская СОШ"
Техническое обследование здания с выдачей заключения</t>
  </si>
  <si>
    <t>2.3.1.49</t>
  </si>
  <si>
    <t>МОУ "Пушкинская СОШ"
Техническое обследование здания с выдачей заключения</t>
  </si>
  <si>
    <t>2.3.1.50</t>
  </si>
  <si>
    <t>МОУ "Верхневолжская СОШ"
Техническое обследование здания с выдачей заключения</t>
  </si>
  <si>
    <t>2.3.1.51</t>
  </si>
  <si>
    <t>МОУ "Колталовская СОШ"
Техническое обследование здания с выдачей заключения</t>
  </si>
  <si>
    <t>2.3.1.52</t>
  </si>
  <si>
    <t>2.3.1.53</t>
  </si>
  <si>
    <t>МОУ "Черногубовская ООШ"
Техническое обследование здания с выдачей заключения</t>
  </si>
  <si>
    <t>2.3.1.54</t>
  </si>
  <si>
    <t>МОУ "Езвинская СОШ им. С.Д.Конюхова"
Техническое обследование здания с выдачей заключения</t>
  </si>
  <si>
    <t>2.3.1.55</t>
  </si>
  <si>
    <t>МОУ "Большеборковская СОШ"
Техническое обследование здания с выдачей заключения</t>
  </si>
  <si>
    <t>2.3.1.56</t>
  </si>
  <si>
    <t>МОУ "Заволжская СОШ им. П. П. Смирнова"
Техническое обследование здания с выдачей заключения</t>
  </si>
  <si>
    <t>2.3.1.57</t>
  </si>
  <si>
    <t>МОУ "Краснопресненская СОШ им. В. П. Дмитриева"
Изготовление дизайн - проекта для капитального ремонта школы</t>
  </si>
  <si>
    <t>2.3.1.58</t>
  </si>
  <si>
    <t>МОУ "Медновская СОШ"
Ремонт медицинского кабинета</t>
  </si>
  <si>
    <t>2.3.1.59</t>
  </si>
  <si>
    <t>МОУ "Заволжская СОШ им. П. П. Смирнова"
Ремонт медицинского кабинета</t>
  </si>
  <si>
    <t>2.3.1.60</t>
  </si>
  <si>
    <t>МОУ "Черногубовская СОШ"
Разработка проектно-сметной документации на капитальный ремонт кровли здания школы</t>
  </si>
  <si>
    <t>2.3.1.61</t>
  </si>
  <si>
    <t>МОУ "Щербининская ООШ"
Заделка кирпичом оконных проемов здания</t>
  </si>
  <si>
    <t>2.3.1.62</t>
  </si>
  <si>
    <t>МОУ "Никольская НОШ"
Ремонт плитки на стенах туалета дошкольной группы</t>
  </si>
  <si>
    <t>2.3.1.63</t>
  </si>
  <si>
    <t>МОУ "Оршинская СОШ"
Замена светильников в спортивном зале</t>
  </si>
  <si>
    <t>2.3.1.64</t>
  </si>
  <si>
    <t>МОУ "Рождественская СОШ"
Замена светильников в учебных классах</t>
  </si>
  <si>
    <t>2.3.1.65</t>
  </si>
  <si>
    <t>МОУ "Никулинская СОШ"
Устройство подвесного потолка в коридоре 2-го этажа здания</t>
  </si>
  <si>
    <t>2.3.1.66</t>
  </si>
  <si>
    <t>2.3.2</t>
  </si>
  <si>
    <r>
      <rPr>
        <b/>
        <sz val="11"/>
        <rFont val="Times New Roman"/>
        <family val="1"/>
        <charset val="204"/>
      </rPr>
      <t xml:space="preserve">Мероприятие подпрограммы 2.02 </t>
    </r>
    <r>
      <rPr>
        <sz val="11"/>
        <rFont val="Times New Roman"/>
        <family val="1"/>
        <charset val="204"/>
      </rPr>
      <t>"Укрепление материально-технической базы муниципальных общеобразовательных организаций"</t>
    </r>
  </si>
  <si>
    <t>2.3.2.1</t>
  </si>
  <si>
    <t>2.3.3</t>
  </si>
  <si>
    <r>
      <rPr>
        <b/>
        <sz val="11"/>
        <rFont val="Times New Roman"/>
        <family val="1"/>
        <charset val="204"/>
      </rPr>
      <t xml:space="preserve">Мероприятие подпрограммы 2.02 </t>
    </r>
    <r>
      <rPr>
        <sz val="11"/>
        <rFont val="Times New Roman"/>
        <family val="1"/>
        <charset val="204"/>
      </rPr>
      <t>"Расходы на укрепление материально-технической базы муниципальных общеобразовательных организаций"</t>
    </r>
  </si>
  <si>
    <t>2.3.3.1</t>
  </si>
  <si>
    <t>2.3.4</t>
  </si>
  <si>
    <t>2.3.4.1</t>
  </si>
  <si>
    <t>МОУ "Горютинская СОШ"
Приобретение столово-кухонного оборудования</t>
  </si>
  <si>
    <t>2.3.4.2</t>
  </si>
  <si>
    <t>МОУ "Медновская СОШ"
Приобретение столово-кухонного оборудования</t>
  </si>
  <si>
    <t>2.3.4.3</t>
  </si>
  <si>
    <t>МОУ "Васильевская СОШ"
Приобретение столово-кухонного оборудования</t>
  </si>
  <si>
    <t>2.3.4.4</t>
  </si>
  <si>
    <t>МОУ "Колталовская СОШ"
Приобретение столово-кухонного оборудования</t>
  </si>
  <si>
    <t>2.3.4.5</t>
  </si>
  <si>
    <t>2.3.5</t>
  </si>
  <si>
    <t>2.3.5.1</t>
  </si>
  <si>
    <t>2.3.5.2</t>
  </si>
  <si>
    <t>2.3.5.3</t>
  </si>
  <si>
    <t>2.3.5.4</t>
  </si>
  <si>
    <t>2.3.5.5</t>
  </si>
  <si>
    <t>2.3.6</t>
  </si>
  <si>
    <r>
      <rPr>
        <b/>
        <sz val="11"/>
        <rFont val="Times New Roman"/>
        <family val="1"/>
        <charset val="204"/>
      </rPr>
      <t xml:space="preserve">Мероприятие подпрограммы 2.03 </t>
    </r>
    <r>
      <rPr>
        <sz val="11"/>
        <rFont val="Times New Roman"/>
        <family val="1"/>
        <charset val="204"/>
      </rPr>
      <t>"Реализация мероприятий, направленных для достижения запланированных значений показателей доступности для инвалидов объектов и услуг образования в общеобразовательных организациях, реализующих образовательные программы общего образования"</t>
    </r>
  </si>
  <si>
    <t>2.3.6.1</t>
  </si>
  <si>
    <t>МОУ "Квакшинская СОШ"
Комплексная тактильная табличка с шрифтом Брайля (38 шт.)</t>
  </si>
  <si>
    <t>2.3.6.2</t>
  </si>
  <si>
    <t>2.3.7</t>
  </si>
  <si>
    <r>
      <rPr>
        <b/>
        <sz val="11"/>
        <rFont val="Times New Roman"/>
        <family val="1"/>
        <charset val="204"/>
      </rPr>
      <t xml:space="preserve">Мероприятие подпрограммы 2.04 </t>
    </r>
    <r>
      <rPr>
        <sz val="11"/>
        <rFont val="Times New Roman"/>
        <family val="1"/>
        <charset val="204"/>
      </rPr>
      <t>"Реализация мероприятий, направленных на обновление и благоустройство территорий общеобразовательных учреждений"</t>
    </r>
  </si>
  <si>
    <t>2.3.7.1</t>
  </si>
  <si>
    <t>МОУ "Колталовская СОШ"
Разработка проектно-сметной документации на проведение ремонта асфальтового покрытия, состоящего из асфальтированых площадок вокруг здания, переходных дорожек и подъездных дорог для автотранспорта</t>
  </si>
  <si>
    <t>2.3.7.2</t>
  </si>
  <si>
    <t>МОУ "Никулинская СОШ"
Разработка проектно-сметной документации на проведение ремонта асфальтового покрытия, состоящего из асфальтированых площадок вокруг здания, переходных дорожек и подъездных дорог для автотранспорта</t>
  </si>
  <si>
    <t>2.3.7.3</t>
  </si>
  <si>
    <t>МОУ "Пушкинская СОШ"
Разработка проектно-сметной документации на проведение ремонта асфальтового покрытия, состоящего из асфальтированых площадок вокруг здания, переходных дорожек и подъездных дорог для автотранспорта</t>
  </si>
  <si>
    <t>2.3.7.4</t>
  </si>
  <si>
    <t>МОУ "Рождественская СОШ"
Разработка проектно-сметной документации на проведение ремонта асфальтового покрытия, состоящего из асфальтированых площадок вокруг здания, переходных дорожек и подъездных дорог для автотранспорта</t>
  </si>
  <si>
    <t>2.3.7.5</t>
  </si>
  <si>
    <t>МОУ "Суховерковская СОШ"
Разработка проектно-сметной документации на проведение ремонта асфальтового покрытия, состоящего из асфальтированых площадок вокруг здания, переходных дорожек и подъездных дорог для автотранспорта</t>
  </si>
  <si>
    <t>2.3.7.6</t>
  </si>
  <si>
    <t>МОУ "Славновская ООШ"
Разработка проектно-сметной документации на проведение ремонта асфальтового покрытия, состоящего из асфальтированых площадок вокруг здания, переходных дорожек и подъездных дорог для автотранспорта</t>
  </si>
  <si>
    <t>2.3.7.7</t>
  </si>
  <si>
    <t>МОУ "Черногубовская ООШ"
Разработка проектно-сметной документации на проведение ремонта асфальтового покрытия, состоящего из асфальтированых площадок вокруг здания, переходных дорожек и подъездных дорог для автотранспорта</t>
  </si>
  <si>
    <t>2.3.7.8</t>
  </si>
  <si>
    <t>МОУ "Щербининская ООШ"
Разработка проектно-сметной документации на проведение ремонта асфальтового покрытия, состоящего из асфальтированых площадок вокруг здания, переходных дорожек и подъездных дорог для автотранспорта</t>
  </si>
  <si>
    <t>2.3.7.9</t>
  </si>
  <si>
    <t>МОУ "Медновская СОШ"
Разработка проектно-сметной документации на проведение ремонта асфальтового покрытия, состоящего из асфальтированых площадок вокруг здания, переходных дорожек и подъездных дорог для автотранспорта</t>
  </si>
  <si>
    <t>2.3.7.10</t>
  </si>
  <si>
    <t>МОУ "Заволжская СОШ им. П. П. Смирнова"
Ремонт основания для искуственного покрытия спортивной площадки на территории школы</t>
  </si>
  <si>
    <t>2.3.7.11</t>
  </si>
  <si>
    <t>МОУ "Горютинская СОШ"
Ремонт основания для искуственного покрытия спортивной площадки на территории школы</t>
  </si>
  <si>
    <t>2.3.7.12</t>
  </si>
  <si>
    <t>МОУ "Краснопресненская СОШ им. В. П. Дмитриева"
Составление сметной документации на ремонт асфальтового покрытия территории школы</t>
  </si>
  <si>
    <t>2.3.7.13</t>
  </si>
  <si>
    <t>МОУ "Рождественская СОШ"
Проведение строительного контроля за ремонтом плаца на территории школы МОУ "Каблуковская НОШ", МОУ "Савватьевская НОШ" филиалов МОУ "Рождественская СОШ"</t>
  </si>
  <si>
    <t>2.3.7.14</t>
  </si>
  <si>
    <t xml:space="preserve">МОУ "Большеборковская СОШ"
Разработка проектно-сметной документации по объекту: "Ремонт подъездных путей и проездов на территории образовательного учреждения" </t>
  </si>
  <si>
    <t>2.3.7.15</t>
  </si>
  <si>
    <t xml:space="preserve">МОУ "Бурашевская СОШ"
Разработка проектно-сметной документации по объекту: "Ремонт подъездных путей и проездов на территории образовательного учреждения" </t>
  </si>
  <si>
    <t>2.3.7.16</t>
  </si>
  <si>
    <t xml:space="preserve">МОУ "Верхневолжская СОШ"
Разработка проектно-сметной документации по объекту: "Ремонт подъездных путей и проездов на территории образовательного учреждения" </t>
  </si>
  <si>
    <t>2.3.7.17</t>
  </si>
  <si>
    <t xml:space="preserve">МОУ "Заволжская СОШ"
Разработка проектно-сметной документации по объекту: "Ремонт подъездных путей и проездов на территории образовательного учреждения" </t>
  </si>
  <si>
    <t>2.3.7.18</t>
  </si>
  <si>
    <t xml:space="preserve">МОУ "Некрасовская СОШ"
Разработка проектно-сметной документации по объекту: "Ремонт подъездных путей и проездов на территории образовательного учреждения" </t>
  </si>
  <si>
    <t>2.3.7.19</t>
  </si>
  <si>
    <t xml:space="preserve">МОУ "Квакшинская СОШ"
Разработка проектно-сметной документации по объекту: "Ремонт подъездных путей и проездов на территории образовательного учреждения" </t>
  </si>
  <si>
    <t>2.3.7.20</t>
  </si>
  <si>
    <t xml:space="preserve">МОУ "Медновская СОШ"
Разработка проектно-сметной документации по объекту: "Ремонт подъездных путей и проездов на территории образовательного учреждения" </t>
  </si>
  <si>
    <t>2.3.7.21</t>
  </si>
  <si>
    <t>МОУ "Никулинская СОШ"
Разработка проектно-сметной документации по объекту: "Ремонт подъездных путей и проездов на территории Даниловского детского сада - филиала МОУ "Никулинская СОШ"</t>
  </si>
  <si>
    <t>2.3.7.22</t>
  </si>
  <si>
    <t>2.3.8</t>
  </si>
  <si>
    <r>
      <rPr>
        <b/>
        <sz val="11"/>
        <rFont val="Times New Roman"/>
        <family val="1"/>
        <charset val="204"/>
      </rPr>
      <t>Мероприятие подпрограммы 2.06</t>
    </r>
    <r>
      <rPr>
        <sz val="11"/>
        <rFont val="Times New Roman"/>
        <family val="1"/>
        <charset val="204"/>
      </rPr>
      <t xml:space="preserve"> "Реализация программ по поддержке местных инициатив в Тверской области. Капитальный ремонт спортивной площадки на территории МОУ "Заволжская СОШ" Калининского округа Тверской области"</t>
    </r>
  </si>
  <si>
    <t>в течение 2026-2027 годов</t>
  </si>
  <si>
    <t>2.3.8.1</t>
  </si>
  <si>
    <t>МОУ "Заволжская СОШ им. П.П. Смирнова"
Капитальный ремонт спортивной площадки на территории МОУ "Заволжская СОШ" Калининского округа Тверской области", осуществление строительного контроля</t>
  </si>
  <si>
    <t>2.3.8.2</t>
  </si>
  <si>
    <t>2.3.9</t>
  </si>
  <si>
    <r>
      <rPr>
        <b/>
        <sz val="11"/>
        <rFont val="Times New Roman"/>
        <family val="1"/>
        <charset val="204"/>
      </rPr>
      <t>Мероприятие подпрограммы 2.07</t>
    </r>
    <r>
      <rPr>
        <sz val="11"/>
        <rFont val="Times New Roman"/>
        <family val="1"/>
        <charset val="204"/>
      </rPr>
      <t xml:space="preserve"> "Реализация программ по поддержке местных инициатив в Тверской области. Благоустройство детской площадки "Аввакумовский детский сад" филиал МОУ "Горютинская СОШ" Калининского округа Тверской области"</t>
    </r>
  </si>
  <si>
    <t>2.3.9.1</t>
  </si>
  <si>
    <t>МОУ "Горютинская СОШ"
Благоустройство детской площадки "Аввакумовский детский сад" филиал МОУ "Горютинская СОШ" Калининского округа Тверской области", осуществление строительного контроля</t>
  </si>
  <si>
    <t>2.3.9.2</t>
  </si>
  <si>
    <t>2.3.10</t>
  </si>
  <si>
    <r>
      <rPr>
        <b/>
        <sz val="11"/>
        <rFont val="Times New Roman"/>
        <family val="1"/>
        <charset val="204"/>
      </rPr>
      <t>Мероприятие подпрограммы 2.08</t>
    </r>
    <r>
      <rPr>
        <sz val="11"/>
        <rFont val="Times New Roman"/>
        <family val="1"/>
        <charset val="204"/>
      </rPr>
      <t xml:space="preserve"> "Реализация программ по поддержке местных инициатив в Тверской области. Капитальный ремонт спортивной площадки на территории МОУ "Горютинская СОШ" Калининского округа Тверской области"</t>
    </r>
  </si>
  <si>
    <t>2.3.10.1</t>
  </si>
  <si>
    <t>МОУ "Горютинская СОШ"
Капитальный ремонт спортивной площадки на территории МОУ "Горютинская СОШ" Калининского округа Тверской области", осуществление строительного контроля</t>
  </si>
  <si>
    <t>2.3.10.2</t>
  </si>
  <si>
    <t>2.3.11</t>
  </si>
  <si>
    <r>
      <rPr>
        <b/>
        <sz val="11"/>
        <rFont val="Times New Roman"/>
        <family val="1"/>
        <charset val="204"/>
      </rPr>
      <t>Мероприятие подпрограммы 2.09</t>
    </r>
    <r>
      <rPr>
        <sz val="11"/>
        <rFont val="Times New Roman"/>
        <family val="1"/>
        <charset val="204"/>
      </rPr>
      <t xml:space="preserve"> "Реализация программ по поддержке местных инициатив в Тверской области. Благоустройство спортивной площадки на территории МОУ "Квакшинская СОШ" Калининского округа Тверской области"</t>
    </r>
  </si>
  <si>
    <t>2.3.11.1</t>
  </si>
  <si>
    <t>МОУ "Квакшинская СОШ"
Благоустройство спортивной площадки на территории МОУ "Квакшинская СОШ" Калининского округа Тверской области, осуществление строительного контроля</t>
  </si>
  <si>
    <t>2.3.11.2</t>
  </si>
  <si>
    <t>2.3.12</t>
  </si>
  <si>
    <r>
      <rPr>
        <b/>
        <sz val="11"/>
        <rFont val="Times New Roman"/>
        <family val="1"/>
        <charset val="204"/>
      </rPr>
      <t>Мероприятие подпрограммы 2.10</t>
    </r>
    <r>
      <rPr>
        <sz val="11"/>
        <rFont val="Times New Roman"/>
        <family val="1"/>
        <charset val="204"/>
      </rPr>
      <t xml:space="preserve"> "Реализация программ по поддержке местных инициатив в Тверской области. Благоустройство спортивной площадки на территории МОУ "Щербининская ООШ" Калининского округа Тверской области"</t>
    </r>
  </si>
  <si>
    <t>2.3.12.1</t>
  </si>
  <si>
    <t>МОУ "Щербининская ООШ"
Благоустройство спортивной площадки на территории МОУ "Щербининская ООШ" Калининского округа Тверской области, осуществление строительного контроля</t>
  </si>
  <si>
    <t>2.3.12.2</t>
  </si>
  <si>
    <t>2.3.13</t>
  </si>
  <si>
    <r>
      <rPr>
        <b/>
        <sz val="11"/>
        <rFont val="Times New Roman"/>
        <family val="1"/>
        <charset val="204"/>
      </rPr>
      <t xml:space="preserve">Мероприятие подпрограммы 2.11 </t>
    </r>
    <r>
      <rPr>
        <sz val="11"/>
        <rFont val="Times New Roman"/>
        <family val="1"/>
        <charset val="204"/>
      </rPr>
      <t>"Укрепление материально-технической базы муниципальных образовательных организаций в целях осуществления мероприятий по работе с детьми и молодежью, в том числе гражданско-патриотическому воспитанию"</t>
    </r>
  </si>
  <si>
    <t>2.3.13.1</t>
  </si>
  <si>
    <t>МОУ "Суховерковская СОШ"
Государственная символика, витрины для музея, столы музейные, интерактивная проекционная книга, информационный сенсорный киоск, спальные мешки, палатки, компас, курвиметр, котелки, лопатки и т.д., стенд-тренажер по сборке-разборке автомата Калашникова, макет автомата Калашникова, лазерный тир, стрелковый тренажер и др.</t>
  </si>
  <si>
    <t>2.3.13.2</t>
  </si>
  <si>
    <t>2.3.14</t>
  </si>
  <si>
    <r>
      <rPr>
        <b/>
        <sz val="11"/>
        <rFont val="Times New Roman"/>
        <family val="1"/>
        <charset val="204"/>
      </rPr>
      <t xml:space="preserve">Мероприятие подпрограммы 2.12 </t>
    </r>
    <r>
      <rPr>
        <sz val="11"/>
        <rFont val="Times New Roman"/>
        <family val="1"/>
        <charset val="204"/>
      </rPr>
      <t>"Реализация программ по поддержке местных инициатив в Тверской области. Благоустройство детской площадки МОУ "Никольская НОШ" (детский сад) Калининского округа Тверской "</t>
    </r>
  </si>
  <si>
    <t>2.3.14.1</t>
  </si>
  <si>
    <t>МОУ "Никольская НОШ"
Благоустройство детской площадки МОУ "Никольская НОШ" (детский сад) Калининского округа Тверской ", осуществление строительного контроля</t>
  </si>
  <si>
    <t>2.3.14.2</t>
  </si>
  <si>
    <t>2.3.15</t>
  </si>
  <si>
    <r>
      <rPr>
        <b/>
        <sz val="11"/>
        <rFont val="Times New Roman"/>
        <family val="1"/>
        <charset val="204"/>
      </rPr>
      <t xml:space="preserve">Мероприятие подпрограммы 2.13 </t>
    </r>
    <r>
      <rPr>
        <sz val="11"/>
        <rFont val="Times New Roman"/>
        <family val="1"/>
        <charset val="204"/>
      </rPr>
      <t>"Расходы на реализацию программы по поддержке местных инициатив"</t>
    </r>
  </si>
  <si>
    <t>2.3.15.1</t>
  </si>
  <si>
    <t>2.3.16</t>
  </si>
  <si>
    <r>
      <rPr>
        <b/>
        <sz val="11"/>
        <rFont val="Times New Roman"/>
        <family val="1"/>
        <charset val="204"/>
      </rPr>
      <t>Мероприятие подпрограммы 2.14</t>
    </r>
    <r>
      <rPr>
        <sz val="11"/>
        <rFont val="Times New Roman"/>
        <family val="1"/>
        <charset val="204"/>
      </rPr>
      <t xml:space="preserve"> "Проведение капитального ремонта фасада и отмостки здания, выполнению работ по ремонту подводящих тепловых сетей МОУ "Эммаусская СОШ" в рамках реализации мероприятий, предусмотренных инвестиционным соглашением по решению вопросов местного значения в сфере образования" </t>
    </r>
  </si>
  <si>
    <t>2.3.16.1</t>
  </si>
  <si>
    <t>2.3.17</t>
  </si>
  <si>
    <r>
      <rPr>
        <b/>
        <sz val="11"/>
        <rFont val="Times New Roman"/>
        <family val="1"/>
        <charset val="204"/>
      </rPr>
      <t>Мероприятие подпрограммы 2.15</t>
    </r>
    <r>
      <rPr>
        <sz val="11"/>
        <rFont val="Times New Roman"/>
        <family val="1"/>
        <charset val="204"/>
      </rPr>
      <t xml:space="preserve"> "Расходы на реализацию мероприятий по капитальному ремонту зданий муниципальных общеобразовательных организаций и оснащение их оборудованием за счет средств бюджета округа" </t>
    </r>
  </si>
  <si>
    <t>2.3.17.1</t>
  </si>
  <si>
    <t>2.3.18</t>
  </si>
  <si>
    <r>
      <rPr>
        <b/>
        <sz val="11"/>
        <rFont val="Times New Roman"/>
        <family val="1"/>
        <charset val="204"/>
      </rPr>
      <t xml:space="preserve">Мероприятие подпрограммы 2.16 </t>
    </r>
    <r>
      <rPr>
        <sz val="11"/>
        <rFont val="Times New Roman"/>
        <family val="1"/>
        <charset val="204"/>
      </rPr>
      <t>"Реализация мероприятий по модернизации школьных систем образования"</t>
    </r>
  </si>
  <si>
    <t>2.3.18.1</t>
  </si>
  <si>
    <t>МОУ "Краснопресненская СОШ им. В. П. Дмитриева"</t>
  </si>
  <si>
    <t>2.3.18.2</t>
  </si>
  <si>
    <t>2.4</t>
  </si>
  <si>
    <t xml:space="preserve">Задача Ю 4 Региональный проект "Всё лучшее детям" в рамках национального проекта "Молодежь и дети" </t>
  </si>
  <si>
    <t>в течение 2025 годов</t>
  </si>
  <si>
    <t>2.4.1</t>
  </si>
  <si>
    <r>
      <rPr>
        <b/>
        <sz val="11"/>
        <rFont val="Times New Roman"/>
        <family val="1"/>
        <charset val="204"/>
      </rPr>
      <t xml:space="preserve">Мероприятие подпрограммы Ю4.01 </t>
    </r>
    <r>
      <rPr>
        <sz val="11"/>
        <rFont val="Times New Roman"/>
        <family val="1"/>
        <charset val="204"/>
      </rPr>
      <t>"Реализация мероприятий по модернизации школьных систем образования"</t>
    </r>
  </si>
  <si>
    <t>2.4.1.1</t>
  </si>
  <si>
    <t>2.5</t>
  </si>
  <si>
    <t>Задача 3 подпрограммы 2 "Комплексные мероприятия в области энергосбережения и повышения энергетической эффективности в образовательных организациях, реализующих программы общего образования"</t>
  </si>
  <si>
    <t>2.5.1</t>
  </si>
  <si>
    <r>
      <rPr>
        <b/>
        <sz val="11"/>
        <rFont val="Times New Roman"/>
        <family val="1"/>
        <charset val="204"/>
      </rPr>
      <t>Мероприятие подпрограммы 3.01</t>
    </r>
    <r>
      <rPr>
        <sz val="11"/>
        <rFont val="Times New Roman"/>
        <family val="1"/>
        <charset val="204"/>
      </rPr>
      <t xml:space="preserve"> "Модернизация конструкции и инженерных систем зданий образовательных учреждений"</t>
    </r>
  </si>
  <si>
    <t>2.5.1.1</t>
  </si>
  <si>
    <t>МОУ "Большеборковская СОШ"
Ремонт межпанельных швов</t>
  </si>
  <si>
    <t>2.5.1.2</t>
  </si>
  <si>
    <t>МОУ "Колталовская СОШ"
Установка входных дверей для предотвращения промерзания (школа)</t>
  </si>
  <si>
    <t>2.5.1.3</t>
  </si>
  <si>
    <t>МОУ "Колталовская СОШ"
Замена дверей в учебных классах, столовой, туалетах, кабинета заместителя директора по ВР</t>
  </si>
  <si>
    <t>2.5.1.4</t>
  </si>
  <si>
    <t>МОУ "Пушкинская СОШ"
Установка двери в столовую (школа)</t>
  </si>
  <si>
    <t>2.5.1.5</t>
  </si>
  <si>
    <t>МОУ "Рождественская СОШ"
Приобретение и установка оконных блоков (школа)</t>
  </si>
  <si>
    <t>2.5.1.6</t>
  </si>
  <si>
    <t>МОУ "Некрасовская СОШ им. А.А.Лукьянова"
Замена оконных блоков 1-го этажа</t>
  </si>
  <si>
    <t>2.5.1.7</t>
  </si>
  <si>
    <t>МОУ "Некрасовская СОШ им. А.А.Лукьянова"
Замена оконных блоков 2-го этажа</t>
  </si>
  <si>
    <t>2.5.1.8</t>
  </si>
  <si>
    <t>МОУ "Некрасовская СОШ им. А.А.Лукьянова"
Замена оконных блоков спортивного зала, ремонт существующих оконных блоков</t>
  </si>
  <si>
    <t>2.5.1.9</t>
  </si>
  <si>
    <t>МОУ "Суховерковская СОШ"
Замена оконных блоков в здании детского сада</t>
  </si>
  <si>
    <t>2.5.1.10</t>
  </si>
  <si>
    <t>МОУ "Пушкинская СОШ"
Ремонт межпанельных швов</t>
  </si>
  <si>
    <t>2.5.1.11</t>
  </si>
  <si>
    <t>МОУ "Рождественская СОШ"
Приобретение и монтаж дверей из ПВХ</t>
  </si>
  <si>
    <t>2.5.1.12</t>
  </si>
  <si>
    <t>МОУ "Черногубовская ООШ"
Замена оконных блоков "Черногубовский детский сад" филиал МОУ "Черногубовская ООШ"</t>
  </si>
  <si>
    <t>2.5.1.13</t>
  </si>
  <si>
    <t xml:space="preserve">МОУ "Васильевская СОШ"
Замена узла тепловой энергии </t>
  </si>
  <si>
    <t>2.5.1.14</t>
  </si>
  <si>
    <t>МОУ "Славновская ООШ"
Установка оконных блоков</t>
  </si>
  <si>
    <t>2.5.1.15</t>
  </si>
  <si>
    <t>МОУ "Краснопресненская СОШ"
Приобретение стеклопакетов</t>
  </si>
  <si>
    <t>2.5.1.16</t>
  </si>
  <si>
    <t>2.6</t>
  </si>
  <si>
    <t>Задача 4 подпрограммы 2 "Комплексная безопасность образовательных организаций, реализующих программы общего образования"</t>
  </si>
  <si>
    <t>2.6.1</t>
  </si>
  <si>
    <t>2.6.1.1</t>
  </si>
  <si>
    <t>2.6.1.2</t>
  </si>
  <si>
    <t>МОУ "Бурашевская СОШ"
Замена радиосистемы передачи извещений "Стрелец-Мониторинг"</t>
  </si>
  <si>
    <t>2.6.1.3</t>
  </si>
  <si>
    <t>МОУ "Горютинская СОШ"
Замена радиосистемы передачи извещений "Стрелец-Мониторинг" в здании МДОУ "Аввакумовский детский сад"</t>
  </si>
  <si>
    <t>2.6.1.4</t>
  </si>
  <si>
    <t>МОУ "Заволжская СОШ им. П.П. Смирнова"
Замена радиосистемы передачи извещений "Стрелец-Мониторинг"</t>
  </si>
  <si>
    <t>2.6.1.5</t>
  </si>
  <si>
    <t>МОУ "Квакшинская СОШ"
Замена радиосистемы передачи извещений "Стрелец-Мониторинг"</t>
  </si>
  <si>
    <t>2.6.1.6</t>
  </si>
  <si>
    <t>МОУ "Краснопресненская СОШ им. В.П. Дмитриева"
Замена радиосистемы передачи извещений "Стрелец-Мониторинг"</t>
  </si>
  <si>
    <t>2.6.1.7</t>
  </si>
  <si>
    <t>МОУ "Медновская СОШ"
Замена радиосистемы передачи извещений "Стрелец-Мониторинг" на объектах школы (3 здания)</t>
  </si>
  <si>
    <t>2.6.1.8</t>
  </si>
  <si>
    <t>МОУ "Некрасовская СОШ им. А.А.Лукьянова"
Замена радиосистемы передачи извещений "Стрелец-Мониторинг"</t>
  </si>
  <si>
    <t>2.6.1.9</t>
  </si>
  <si>
    <t>МОУ "Оршинская СОШ"
Замена радиосистемы передачи извещений "Стрелец-Мониторинг"</t>
  </si>
  <si>
    <t>2.6.1.10</t>
  </si>
  <si>
    <t>МОУ "Пушкинская СОШ"
Замена радиосистемы передачи извещений "Стрелец-Мониторинг" на объектах школы (2 здания)</t>
  </si>
  <si>
    <t>2.6.1.11</t>
  </si>
  <si>
    <t>МОУ "Рождественская СОШ"
Замена радиосистемы передачи извещений "Стрелец-Мониторинг" на объектах школы (5 объектов)</t>
  </si>
  <si>
    <t>2.6.1.12</t>
  </si>
  <si>
    <t>МОУ "Славновская ООШ"
Замена радиосистемы передачи извещений "Стрелец-Мониторинг"</t>
  </si>
  <si>
    <t>2.6.1.13</t>
  </si>
  <si>
    <t>МОУ "Суховерковская СОШ"
Замена радиосистемы передачи извещений "Стрелец-Мониторинг" на объектах школы (2 здания)</t>
  </si>
  <si>
    <t>2.6.1.14</t>
  </si>
  <si>
    <t>МОУ "Тверская СОШ имени Маршала Советского Союза И.С. Конева"
Замена радиосистемы передачи извещений "Стрелец-Мониторинг"</t>
  </si>
  <si>
    <t>2.6.1.15</t>
  </si>
  <si>
    <t>МОУ "Черногубовская ООШ"
Замена радиосистемы передачи извещений "Стрелец-Мониторинг" на объектах школы (2 здания)</t>
  </si>
  <si>
    <t>2.6.1.16</t>
  </si>
  <si>
    <t>МОУ "Щербининская ООШ"
Замена радиосистемы передачи извещений "Стрелец-Мониторинг"</t>
  </si>
  <si>
    <t>2.6.1.17</t>
  </si>
  <si>
    <t>МОУ "Эммаусская СОШ"
Замена радиосистемы передачи извещений "Стрелец-Мониторинг"</t>
  </si>
  <si>
    <t>2.6.1.18</t>
  </si>
  <si>
    <t>МОУ "Некрасовская СОШ им. А.А.Лукьянова"
Ремонт вентиляционных каналов санитарных узлов и спортивного зала</t>
  </si>
  <si>
    <t>2.6.1.19</t>
  </si>
  <si>
    <t xml:space="preserve">МОУ "Никулинская СОШ"
Разработка проектно-сметной документации на капитальный ремонт автоматической пожарной сигнализации и системы оповещения и управления эвакуацией людей </t>
  </si>
  <si>
    <t>2.6.1.20</t>
  </si>
  <si>
    <t xml:space="preserve">МОУ "Васильевская СОШ"
Капитальный ремонт автоматической пожарной сигнализации и системы оповещения и управления эвакуацией людей </t>
  </si>
  <si>
    <t>2.6.1.21</t>
  </si>
  <si>
    <t>МОУ "Заволжская СОШ им. П.П. Смирнова"
Капитальный ремонт автоматической пожарной сигнализации и системы оповещения и управления эвакуацией людей, осуществление строительного контроля</t>
  </si>
  <si>
    <t>2.6.1.22</t>
  </si>
  <si>
    <t xml:space="preserve">МОУ "Колталовская СОШ"
Разработка проектно-сметной документации на капитальный ремонт автоматической пожарной сигнализации и системы оповещения и управления эвакуацией людей </t>
  </si>
  <si>
    <t>2.6.1.23</t>
  </si>
  <si>
    <t xml:space="preserve">МОУ "Квакшинская СОШ"
Капитальный ремонт автоматической пожарной сигнализации и системы оповещения и управления эвакуацией людей, строительный контроль </t>
  </si>
  <si>
    <t>2.6.1.24</t>
  </si>
  <si>
    <t>МОУ "Пушкинская СОШ"
Ремонт вытяжной вентиляции в помещении пищеблока</t>
  </si>
  <si>
    <t>2.6.1.25</t>
  </si>
  <si>
    <t xml:space="preserve">МОУ "Рождественская СОШ"
Разработка проектно-сметной документации на капитальный ремонт автоматической пожарной сигнализации и системы оповещения и управления эвакуацией людей </t>
  </si>
  <si>
    <t>2.6.1.26</t>
  </si>
  <si>
    <t>МОУ "Суховерковская СОШ"
Капитальный ремонт автоматической пожарной сигнализации и системы оповещения и управления эвакуацией людей при пожаре в здании "Суховерковский детский сад" филиал 
МОУ "Суховерковская СОШ"</t>
  </si>
  <si>
    <t>2.6.1.27</t>
  </si>
  <si>
    <t>МОУ "Рождественская СОШ"
Приобретение металлической противопожарной двери для Каблуковской ООШ</t>
  </si>
  <si>
    <t>2.6.1.28</t>
  </si>
  <si>
    <t>МОУ "Колталовская СОШ"
Капитальный ремонт автоматической пожарной сигнализации и системы оповещения и управления эвакуацией людей при пожаре в здании "Колталовский детский сад" филиал 
МОУ "Колталовская СОШ" (истек срок эксплуатации 10 лет в 2025 году)</t>
  </si>
  <si>
    <t>2.6.1.29</t>
  </si>
  <si>
    <t>МОУ "Славновская ООШ"
Разработка проектно-сметной документации на капитальный ремонт автоматической пожарной сигнализации и системы оповещения и управления эвакуацией людей</t>
  </si>
  <si>
    <t>2.6.1.30</t>
  </si>
  <si>
    <t xml:space="preserve">МОУ "Щербининская ООШ"
Разработка проектно-сметной документации на капитальный ремонт автоматической пожарной сигнализации и системы оповещения и управления эвакуацией людей </t>
  </si>
  <si>
    <t>2.6.1.31</t>
  </si>
  <si>
    <t xml:space="preserve">МОУ "Черногубовская ООШ"
Разработка проектно-сметной документации на капитальный ремонт автоматической пожарной сигнализации и системы оповещения и управления эвакуацией людей </t>
  </si>
  <si>
    <t>2.6.1.32</t>
  </si>
  <si>
    <t xml:space="preserve">МОУ "Горютинская СОШ"
Разработка проектно-сметной документации на капитальный ремонт автоматической пожарной сигнализации и системы оповещения и управления эвакуацией людей </t>
  </si>
  <si>
    <t>2.6.1.33</t>
  </si>
  <si>
    <t>2.7.2</t>
  </si>
  <si>
    <r>
      <rPr>
        <b/>
        <sz val="11"/>
        <rFont val="Times New Roman"/>
        <family val="1"/>
        <charset val="204"/>
      </rPr>
      <t>Мероприятие подпрограммы 4.02</t>
    </r>
    <r>
      <rPr>
        <sz val="11"/>
        <rFont val="Times New Roman"/>
        <family val="1"/>
        <charset val="204"/>
      </rPr>
      <t xml:space="preserve"> "Осуществление комплекса мер по антитеррористической безопасности"</t>
    </r>
  </si>
  <si>
    <t>2.7.2.1</t>
  </si>
  <si>
    <t>2.7.2.2</t>
  </si>
  <si>
    <t>МОУ "Колталовская СОШ"
Дооборудование системы видеонаблюдения</t>
  </si>
  <si>
    <t>2.7.2.3</t>
  </si>
  <si>
    <t>МОУ "Никулинская СОШ"
Разработка проектно-сметной документации на монтаж системы оповещения и управления эвакуацией людей при потенциальной угрозе возникновения ЧС в Даниловскому детском саду</t>
  </si>
  <si>
    <t>2.7.2.4</t>
  </si>
  <si>
    <t>МОУ "Васильевская СОШ"
Ремонт ограждения территории</t>
  </si>
  <si>
    <t>2.7.2.5</t>
  </si>
  <si>
    <t>МОУ "Заволжская СОШ им. П.П. Смирнова"
Ремонт ограждения с установкой системы СКУД на калитки и установкой откатных ворот</t>
  </si>
  <si>
    <t>2.7.2.6</t>
  </si>
  <si>
    <t xml:space="preserve">МОУ "Некрасовская СОШ им. А.А.Лукьянова"
Ремонт ограждения территории </t>
  </si>
  <si>
    <t>2.7.2.7</t>
  </si>
  <si>
    <t xml:space="preserve">МОУ "Пушкинская СОШ"
Ремонт ограждения территории </t>
  </si>
  <si>
    <t>2.7.2.8</t>
  </si>
  <si>
    <t>МОУ "Рождественская СОШ"
Монтаж СОУЭ при угрозе возникновения ЧС в МОУ "Рождественская СОШ" и филиалах</t>
  </si>
  <si>
    <t>2.7.2.9</t>
  </si>
  <si>
    <t>МОУ "Васильевская СОШ"
Монтаж наружного освещения территории учреждения</t>
  </si>
  <si>
    <t>2.7.2.10</t>
  </si>
  <si>
    <t>МОУ "Васильевская СОШ"
Монтаж системы контроля доступа и видеодомофона</t>
  </si>
  <si>
    <t>2.7.2.11</t>
  </si>
  <si>
    <t>МОУ "Колталовская СОШ"
Разработка проектно-сметной документации на установку системы оповещения и эвакуации людей при возникновении чрезвычайной ситуации</t>
  </si>
  <si>
    <t>2.7.2.12</t>
  </si>
  <si>
    <t>МОУ "Бурашевская СОШ"
Установка домофона на калитке при входе на территорию учреждения</t>
  </si>
  <si>
    <t>2.7.2.13</t>
  </si>
  <si>
    <t>МОУ "Бурашевская СОШ"
Устройство ограждения (калитки)</t>
  </si>
  <si>
    <t>2.7.2.14</t>
  </si>
  <si>
    <t>МОУ "Колталовская СОШ"
Монтаж системы оповещения и эвакуации людей при возникновении чрезвычайной ситуации в здании Колталовского детского сада</t>
  </si>
  <si>
    <t>2.7.2.15</t>
  </si>
  <si>
    <t>МОУ "Пушкинская СОШ"
Разработка проектно-сметной документации на установку системы оповещения и эвакуации людей при возникновении чрезвычайной ситуации в здании Пушкинский детский сад</t>
  </si>
  <si>
    <t>2.7.2.16</t>
  </si>
  <si>
    <t>МОУ "Медновская СОШ"
Разработка проектно-сметной документации на монтаж системы оповещения и эвакуации людей (СОУЭ) о потенциальной угрозе возникновения или о возникновении чрезвычайной ситуации на объекте "Дмитровский детский сад" Филиал МОУ "Медновская СОШ"</t>
  </si>
  <si>
    <t>2.7.2.17</t>
  </si>
  <si>
    <t>МОУ "Суховерковская СОШ"
Разработка проектно-сметной документации на установку системы оповещения и эвакуации людей при возникновении чрезвычайной ситуации в здании Суховерковский детский сад</t>
  </si>
  <si>
    <t>2.7.2.18</t>
  </si>
  <si>
    <t>2.8</t>
  </si>
  <si>
    <t>Задача 5 подпрограммы 2 "Обеспечение доступности качественных образовательных услуг в общеобразовательных учреждениях вне зависимости от места проживания и состояния здоровья обучающихся"</t>
  </si>
  <si>
    <t>2.8.1</t>
  </si>
  <si>
    <r>
      <rPr>
        <b/>
        <sz val="11"/>
        <rFont val="Times New Roman"/>
        <family val="1"/>
        <charset val="204"/>
      </rPr>
      <t xml:space="preserve">Мероприятие подпрограммы 5.01 </t>
    </r>
    <r>
      <rPr>
        <sz val="11"/>
        <rFont val="Times New Roman"/>
        <family val="1"/>
        <charset val="204"/>
      </rPr>
      <t>"Расходы на создание условий для предоставления транспортных услуг населению и организацию транспортного обслуживания населения в границах муниципального образования в части обеспечения подвоза учащихся, проживающих в сельской местности, к месту обучения и обратно"</t>
    </r>
  </si>
  <si>
    <t>2.8.2</t>
  </si>
  <si>
    <r>
      <rPr>
        <b/>
        <sz val="11"/>
        <rFont val="Times New Roman"/>
        <family val="1"/>
        <charset val="204"/>
      </rPr>
      <t xml:space="preserve">Мероприятие подпрограммы 5.01 </t>
    </r>
    <r>
      <rPr>
        <sz val="11"/>
        <rFont val="Times New Roman"/>
        <family val="1"/>
        <charset val="204"/>
      </rPr>
      <t xml:space="preserve">"Создание условий для предоставления транспортных услуг населению и организацию транспортного обслуживания населения в границах муниципального образования в части обеспечения подвоза учащихся, проживающих в сельской местности, к месту обучения и обратно" </t>
    </r>
  </si>
  <si>
    <t>2.8.3</t>
  </si>
  <si>
    <r>
      <rPr>
        <b/>
        <sz val="11"/>
        <rFont val="Times New Roman"/>
        <family val="1"/>
        <charset val="204"/>
      </rPr>
      <t xml:space="preserve">Мероприятие подпрограммы 5.02 </t>
    </r>
    <r>
      <rPr>
        <sz val="11"/>
        <rFont val="Times New Roman"/>
        <family val="1"/>
        <charset val="204"/>
      </rPr>
      <t>"Расходы на организацию участия детей и подростков в социально значимых региональных проектах"</t>
    </r>
  </si>
  <si>
    <t>2.8.4</t>
  </si>
  <si>
    <r>
      <rPr>
        <b/>
        <sz val="11"/>
        <rFont val="Times New Roman"/>
        <family val="1"/>
        <charset val="204"/>
      </rPr>
      <t xml:space="preserve">Мероприятие подпрограммы 5.02 </t>
    </r>
    <r>
      <rPr>
        <sz val="11"/>
        <rFont val="Times New Roman"/>
        <family val="1"/>
        <charset val="204"/>
      </rPr>
      <t>"Организация участия детей и подростков в социально значимых региональных проектах"</t>
    </r>
  </si>
  <si>
    <t xml:space="preserve">Обеспечение исполнения законодательства </t>
  </si>
  <si>
    <t>2.8.5</t>
  </si>
  <si>
    <r>
      <rPr>
        <b/>
        <sz val="11"/>
        <rFont val="Times New Roman"/>
        <family val="1"/>
        <charset val="204"/>
      </rPr>
      <t xml:space="preserve">Мероприятие подпрограммы 5.04 </t>
    </r>
    <r>
      <rPr>
        <sz val="11"/>
        <rFont val="Times New Roman"/>
        <family val="1"/>
        <charset val="204"/>
      </rPr>
      <t>"Расходы на проведение муниципальных мероприятий, направленных на развитие творческого, спортивного, патриотического, интеллектуального потенциала и профессиональной ориентации школьников"</t>
    </r>
  </si>
  <si>
    <t>2.9</t>
  </si>
  <si>
    <t>Задача 6 подпрограммы 2 "Обеспечение комплексной деятельности по сохранению и укреплению здоровья школьников, формированию основ здорового образа жизни"</t>
  </si>
  <si>
    <t>Организация питания обучающихся отвечающего требованиям санитарных норм, законодательству по охране здоровья детей, 
развитие традиций, связанных с сохранением и укреплением здоровья
Формирование навыков здорового образа жизни, культуры безопасности жизнедеятельности.
Создание условий для сохранения психического здоровья обучающихся.
Формирование у участников образовательного процесса отношения к своему здоровью как ценности.</t>
  </si>
  <si>
    <t>2.9.1</t>
  </si>
  <si>
    <r>
      <rPr>
        <b/>
        <sz val="11"/>
        <rFont val="Times New Roman"/>
        <family val="1"/>
        <charset val="204"/>
      </rPr>
      <t>Мероприятие подпрограммы 6.01</t>
    </r>
    <r>
      <rPr>
        <sz val="11"/>
        <rFont val="Times New Roman"/>
        <family val="1"/>
        <charset val="204"/>
      </rPr>
      <t xml:space="preserve"> "Организация бесплатного горячего питания обучающихся, получающих начальное общее образование в муниципальных образовательных организациях"</t>
    </r>
  </si>
  <si>
    <t>2.9.2</t>
  </si>
  <si>
    <r>
      <rPr>
        <b/>
        <sz val="11"/>
        <rFont val="Times New Roman"/>
        <family val="1"/>
        <charset val="204"/>
      </rPr>
      <t xml:space="preserve">Мероприятие подпрограммы 6.02 </t>
    </r>
    <r>
      <rPr>
        <sz val="11"/>
        <rFont val="Times New Roman"/>
        <family val="1"/>
        <charset val="204"/>
      </rPr>
      <t>"Расходы на организацию отдыха детей в каникулярное время"</t>
    </r>
  </si>
  <si>
    <t>2.9.3</t>
  </si>
  <si>
    <r>
      <rPr>
        <b/>
        <sz val="11"/>
        <rFont val="Times New Roman"/>
        <family val="1"/>
        <charset val="204"/>
      </rPr>
      <t xml:space="preserve">Мероприятие подпрограммы 6.02 </t>
    </r>
    <r>
      <rPr>
        <sz val="11"/>
        <rFont val="Times New Roman"/>
        <family val="1"/>
        <charset val="204"/>
      </rPr>
      <t>"Организация отдыха детей в каникулярное время"</t>
    </r>
  </si>
  <si>
    <t>2.9.4</t>
  </si>
  <si>
    <r>
      <rPr>
        <b/>
        <sz val="11"/>
        <rFont val="Times New Roman"/>
        <family val="1"/>
        <charset val="204"/>
      </rPr>
      <t xml:space="preserve">Мероприятие подпрограммы 6.03 </t>
    </r>
    <r>
      <rPr>
        <sz val="11"/>
        <rFont val="Times New Roman"/>
        <family val="1"/>
        <charset val="204"/>
      </rPr>
      <t>"Обеспечение организации трудоустройства обучающихся общеобразовательных учреждений в каникулярное время"</t>
    </r>
  </si>
  <si>
    <t>2.9.5</t>
  </si>
  <si>
    <r>
      <rPr>
        <b/>
        <sz val="11"/>
        <rFont val="Times New Roman"/>
        <family val="1"/>
        <charset val="204"/>
      </rPr>
      <t xml:space="preserve">Мероприятие подпрограммы 6.04 </t>
    </r>
    <r>
      <rPr>
        <sz val="11"/>
        <rFont val="Times New Roman"/>
        <family val="1"/>
        <charset val="204"/>
      </rPr>
      <t>"Обеспечение горячим питанием учащихся с ограниченными возможностями здоровья в общеобразовательных учреждениях"</t>
    </r>
  </si>
  <si>
    <t>2.9.6</t>
  </si>
  <si>
    <r>
      <rPr>
        <b/>
        <sz val="11"/>
        <rFont val="Times New Roman"/>
        <family val="1"/>
        <charset val="204"/>
      </rPr>
      <t xml:space="preserve">Мероприятие подпрограммы 6.05 </t>
    </r>
    <r>
      <rPr>
        <sz val="11"/>
        <rFont val="Times New Roman"/>
        <family val="1"/>
        <charset val="204"/>
      </rPr>
      <t>"Обеспечение горячим питанием учащихся 5-11 классов в общеобразовательных учреждениях, членов семей граждан РФ, призванных на военную службу"</t>
    </r>
  </si>
  <si>
    <t>2.9.7</t>
  </si>
  <si>
    <r>
      <rPr>
        <b/>
        <sz val="11"/>
        <rFont val="Times New Roman"/>
        <family val="1"/>
        <charset val="204"/>
      </rPr>
      <t xml:space="preserve">Мероприятие подпрограммы 6.06 </t>
    </r>
    <r>
      <rPr>
        <sz val="11"/>
        <rFont val="Times New Roman"/>
        <family val="1"/>
        <charset val="204"/>
      </rPr>
      <t>"Укрепление материально-технической базы муниципальных организаций отдыха детей и их оздоровления"</t>
    </r>
  </si>
  <si>
    <t>2.10</t>
  </si>
  <si>
    <t>Задача 7 подпрограммы 2 "Создание условий для воспитания гармонично развитой творческой личности в условиях современного социума "</t>
  </si>
  <si>
    <t xml:space="preserve"> - формирование нового поколения учителей, готовых к творческому решению новых задач;
- обеспечение условий для осуществления профессиональной деятельности учителей, повышения уровня профессионального мастерства;
- стимулирование инновационного развития системы образования;
- расширение самостоятельности учреждений и усиление ответственности руководителей образовательных учреждений</t>
  </si>
  <si>
    <t>2.10.1</t>
  </si>
  <si>
    <r>
      <rPr>
        <b/>
        <sz val="11"/>
        <rFont val="Times New Roman"/>
        <family val="1"/>
        <charset val="204"/>
      </rPr>
      <t>Мероприятие подпрограммы 7.01</t>
    </r>
    <r>
      <rPr>
        <sz val="11"/>
        <rFont val="Times New Roman"/>
        <family val="1"/>
        <charset val="204"/>
      </rPr>
      <t xml:space="preserve"> "Расходы на проведение муниципальных мероприятий по духовно-нравственному воспитанию школьников "</t>
    </r>
  </si>
  <si>
    <t>2.10.2</t>
  </si>
  <si>
    <r>
      <rPr>
        <b/>
        <sz val="11"/>
        <rFont val="Times New Roman"/>
        <family val="1"/>
        <charset val="204"/>
      </rPr>
      <t xml:space="preserve">Мероприятие подпрограммы 7.02 </t>
    </r>
    <r>
      <rPr>
        <sz val="11"/>
        <rFont val="Times New Roman"/>
        <family val="1"/>
        <charset val="204"/>
      </rPr>
      <t>"Мероприятия для одаренных детей"</t>
    </r>
  </si>
  <si>
    <t>2.10.3</t>
  </si>
  <si>
    <r>
      <rPr>
        <b/>
        <sz val="11"/>
        <rFont val="Times New Roman"/>
        <family val="1"/>
        <charset val="204"/>
      </rPr>
      <t xml:space="preserve">Мероприятие подпрограммы 7.03 </t>
    </r>
    <r>
      <rPr>
        <sz val="11"/>
        <rFont val="Times New Roman"/>
        <family val="1"/>
        <charset val="204"/>
      </rPr>
      <t>"Реализация проектов в рамках поддержки школьных инициатив Тверской области"</t>
    </r>
  </si>
  <si>
    <t>2.10.3.1</t>
  </si>
  <si>
    <t>Реализация образовательных проектов в рамках поддержки школьных инициатив Тверской области - проект "Центр детских инициатив "Детолидер" МОУ "Славновская ООШ"</t>
  </si>
  <si>
    <t>2.10.3.2</t>
  </si>
  <si>
    <t>Реализация образовательных проектов в рамках поддержки школьных инициатив Тверской области - проект "Мобильная телестудия "Дети 24/7" МОУ "Михайловская СОШ"</t>
  </si>
  <si>
    <t>2.10.3.3</t>
  </si>
  <si>
    <t>Реализация образовательных проектов в рамках поддержки школьных инициатив Тверской области - проект "Комната детских инициатив "Вместе весело шагать" МОУ "Квакшинская СОШ"</t>
  </si>
  <si>
    <t>2.10.3.4</t>
  </si>
  <si>
    <t>Реализация образовательных проектов в рамках поддержки школьных инициатив Тверской области - проект "Школьный медиацентр "ЧеснОК" МОУ "Суховерковская СОШ"</t>
  </si>
  <si>
    <t>2.10.3.5</t>
  </si>
  <si>
    <t>Реализация образовательных проектов в рамках поддержки школьных инициатив Тверской области - проект "Досуговые уголки в школе "Школа нашей мечты" МОУ "Тверская СОШ имени Маршала Советского Союза И.С. Конева"</t>
  </si>
  <si>
    <t>3</t>
  </si>
  <si>
    <t>Подпрограмма 3 "Развитие дополнительного образования"</t>
  </si>
  <si>
    <t>Обеспечение к 2027 году для детей в возрасте от 5 до 18 лет доступных для каждого и качественных условий для воспитания гармонично развитой и социально ответственной личности путем увеличения охвата дополнительным образованием более 80 процентов от общего числа детей, обновления
содержания и методов дополнительного
образования детей, развития кадрового
потенциала и модернизации инфраструктуры системы дополнительного образования детей.</t>
  </si>
  <si>
    <t>Управление образования, учреждения дополнительного образования</t>
  </si>
  <si>
    <t>3.1</t>
  </si>
  <si>
    <t>Задача 1 подпрограммы 3 "Организация предоставления дополнительного образования в образовательных организациях дополнительного образования"</t>
  </si>
  <si>
    <t>3.1.1</t>
  </si>
  <si>
    <r>
      <rPr>
        <b/>
        <sz val="11"/>
        <rFont val="Times New Roman"/>
        <family val="1"/>
        <charset val="204"/>
      </rPr>
      <t>Мероприятие подпрограммы 1.01</t>
    </r>
    <r>
      <rPr>
        <sz val="11"/>
        <rFont val="Times New Roman"/>
        <family val="1"/>
        <charset val="204"/>
      </rPr>
      <t xml:space="preserve"> "Финансовое обеспечение муниципального задания образовательных организаций, реализующих программы дополнительного образования"</t>
    </r>
  </si>
  <si>
    <t>3.1.2</t>
  </si>
  <si>
    <r>
      <rPr>
        <b/>
        <sz val="11"/>
        <rFont val="Times New Roman"/>
        <family val="1"/>
        <charset val="204"/>
      </rPr>
      <t>Мероприятие подпрограммы 1.02</t>
    </r>
    <r>
      <rPr>
        <sz val="11"/>
        <rFont val="Times New Roman"/>
        <family val="1"/>
        <charset val="204"/>
      </rPr>
      <t xml:space="preserve"> "Обеспечение функционирования модели персонифицированного финансирования дополнительного образования детей"</t>
    </r>
  </si>
  <si>
    <t>3.1.3</t>
  </si>
  <si>
    <r>
      <rPr>
        <b/>
        <sz val="11"/>
        <rFont val="Times New Roman"/>
        <family val="1"/>
        <charset val="204"/>
      </rPr>
      <t>Мероприятие подпрограммы 1.03</t>
    </r>
    <r>
      <rPr>
        <sz val="11"/>
        <rFont val="Times New Roman"/>
        <family val="1"/>
        <charset val="204"/>
      </rPr>
      <t xml:space="preserve"> "Развитие муниципальных учреждений дополнительного образования спортивной направленности, учреждения физической культуры и спорта"</t>
    </r>
  </si>
  <si>
    <t>3.1.4</t>
  </si>
  <si>
    <r>
      <rPr>
        <b/>
        <sz val="11"/>
        <rFont val="Times New Roman"/>
        <family val="1"/>
        <charset val="204"/>
      </rPr>
      <t>Мероприятие подпрограммы 1.04</t>
    </r>
    <r>
      <rPr>
        <sz val="11"/>
        <rFont val="Times New Roman"/>
        <family val="1"/>
        <charset val="204"/>
      </rPr>
      <t xml:space="preserve"> "Расходы на повышение заработной платы педагогическим работникам муниципальных организаций дополнительного образования"</t>
    </r>
  </si>
  <si>
    <t>3.1.5</t>
  </si>
  <si>
    <r>
      <rPr>
        <b/>
        <sz val="11"/>
        <rFont val="Times New Roman"/>
        <family val="1"/>
        <charset val="204"/>
      </rPr>
      <t xml:space="preserve">Мероприятие подпрограммы 1.04 </t>
    </r>
    <r>
      <rPr>
        <sz val="11"/>
        <rFont val="Times New Roman"/>
        <family val="1"/>
        <charset val="204"/>
      </rPr>
      <t>"Повышение заработной платы педагогическим работникам муниципальных организаций дополнительного образования"</t>
    </r>
  </si>
  <si>
    <t>3.1.6</t>
  </si>
  <si>
    <r>
      <rPr>
        <b/>
        <sz val="11"/>
        <rFont val="Times New Roman"/>
        <family val="1"/>
        <charset val="204"/>
      </rPr>
      <t>Мероприятие подпрограммы 1.05</t>
    </r>
    <r>
      <rPr>
        <sz val="11"/>
        <rFont val="Times New Roman"/>
        <family val="1"/>
        <charset val="204"/>
      </rPr>
      <t xml:space="preserve"> "Осуществление единовременной выплаты к началу нового учебного года работникам основного списочного состава муниципальных учреждений дополнительного образования"</t>
    </r>
  </si>
  <si>
    <t>3.1.7</t>
  </si>
  <si>
    <r>
      <rPr>
        <b/>
        <sz val="11"/>
        <rFont val="Times New Roman"/>
        <family val="1"/>
        <charset val="204"/>
      </rPr>
      <t>Мероприятие подпрограммы 1.06</t>
    </r>
    <r>
      <rPr>
        <sz val="11"/>
        <rFont val="Times New Roman"/>
        <family val="1"/>
        <charset val="204"/>
      </rPr>
      <t xml:space="preserve"> "Расходы на реализацию программы по поддержке местных инициатив"</t>
    </r>
  </si>
  <si>
    <t>3.1.8</t>
  </si>
  <si>
    <r>
      <rPr>
        <b/>
        <sz val="11"/>
        <rFont val="Times New Roman"/>
        <family val="1"/>
        <charset val="204"/>
      </rPr>
      <t>Мероприятие подпрограммы 1.07</t>
    </r>
    <r>
      <rPr>
        <sz val="11"/>
        <rFont val="Times New Roman"/>
        <family val="1"/>
        <charset val="204"/>
      </rPr>
      <t xml:space="preserve"> "Обеспечение уровня финансирования физкультурно-спортивных организаций и учреждений дополнительного образования, осуществляющих спортивную подготовку, в соответствии с требованиями федеральных стандартов спортивной подготовки"</t>
    </r>
  </si>
  <si>
    <t>4</t>
  </si>
  <si>
    <t>Подпрограмма 4 "Профессиональная подготовка и социальная поддержка работников муниципальных образовательных организаций"</t>
  </si>
  <si>
    <t>Созданы благоприятные условия для:
-профессионального роста и эффективного
использования кадрового потенциала;
-мотивации к качественному педагогическому труду;
-увеличение доли педагогических работников,
реализующих инновационные педагогические
технологии, принимающих участие в
профессиональных конкурсах разных уровней;
Повышение уровня профессиональных
компетенций педагогических кадров</t>
  </si>
  <si>
    <t>Управление образования</t>
  </si>
  <si>
    <t>4.1</t>
  </si>
  <si>
    <t>Задача 2 подпрограммы 4 "Развитие кадрового потенциала педагогических работников"</t>
  </si>
  <si>
    <t>4.1.1</t>
  </si>
  <si>
    <r>
      <rPr>
        <b/>
        <sz val="11"/>
        <rFont val="Times New Roman"/>
        <family val="1"/>
        <charset val="204"/>
      </rPr>
      <t>Мероприятие 2.01</t>
    </r>
    <r>
      <rPr>
        <sz val="11"/>
        <rFont val="Times New Roman"/>
        <family val="1"/>
        <charset val="204"/>
      </rPr>
      <t xml:space="preserve"> "Организация и проведение муниципального этапа Всероссийского конкурса "Учитель года", "Воспитатель года"</t>
    </r>
  </si>
  <si>
    <t>4.2</t>
  </si>
  <si>
    <t>Задача 3 подпрограммы 4 "Социальная поддержка руководящих и педагогических работников"</t>
  </si>
  <si>
    <t>4.2.1</t>
  </si>
  <si>
    <t>Мероприятие подпрограммы 3.01 "Осуществление отдельных государственных полномочий Тверской области по предоставлению компенсации расходов на оплату жилых помещений, отопления и освещения отдельным категориям педагогических работников, проживающим и работающим в сельских населенных пунктах, рабочих поселках (поселках городского типа)"</t>
  </si>
  <si>
    <t>Управление образования, муниципальные дошкольные учреждения, муниципальные общеобразовательные учреждения</t>
  </si>
  <si>
    <t>4.2.2</t>
  </si>
  <si>
    <r>
      <rPr>
        <b/>
        <sz val="11"/>
        <rFont val="Times New Roman"/>
        <family val="1"/>
        <charset val="204"/>
      </rPr>
      <t>Мероприятие подпрограммы 3.02</t>
    </r>
    <r>
      <rPr>
        <sz val="11"/>
        <rFont val="Times New Roman"/>
        <family val="1"/>
        <charset val="204"/>
      </rPr>
      <t xml:space="preserve"> "Возмещение расходов на оплату стоимости проезда к месту работы и обратно педагогическим работникам муниципальных образовательных организаций Калининского муниципального округа Тверской области, проживающим в другой местности"</t>
    </r>
  </si>
  <si>
    <t>5</t>
  </si>
  <si>
    <t>Подпрограмма 5 "Строительство и приобретение муниципальных объектов образования"</t>
  </si>
  <si>
    <t>Создание условий отвечающих требованиям санитарно-эпидемиологическим нормам</t>
  </si>
  <si>
    <t>Отдел архитектуры и градостроительства</t>
  </si>
  <si>
    <t>5.1</t>
  </si>
  <si>
    <t>Задача 1 "Строительство муниципальных объектов дошкольного образования"</t>
  </si>
  <si>
    <t>Задача 2 подпрограммы 5 "Строительство муниципальных объектов общего образования"</t>
  </si>
  <si>
    <t>5.1.1</t>
  </si>
  <si>
    <r>
      <rPr>
        <b/>
        <sz val="11"/>
        <rFont val="Times New Roman"/>
        <family val="1"/>
        <charset val="204"/>
      </rPr>
      <t>Мероприятие подпрограммы 2.01</t>
    </r>
    <r>
      <rPr>
        <sz val="11"/>
        <rFont val="Times New Roman"/>
        <family val="1"/>
        <charset val="204"/>
      </rPr>
      <t xml:space="preserve"> Строительство школы на 560 мест по адресу: Тверская область, Калининский муниципальный округ, д. Кривцово</t>
    </r>
  </si>
  <si>
    <t>5.1.2</t>
  </si>
  <si>
    <r>
      <rPr>
        <b/>
        <sz val="11"/>
        <rFont val="Times New Roman"/>
        <family val="1"/>
        <charset val="204"/>
      </rPr>
      <t>Мероприятие подпрограммы 2.02</t>
    </r>
    <r>
      <rPr>
        <sz val="11"/>
        <rFont val="Times New Roman"/>
        <family val="1"/>
        <charset val="204"/>
      </rPr>
      <t xml:space="preserve"> Строительство школы на 500 мест по адресу: Тверская область, Калининский муниципальный округ, д. Никулино</t>
    </r>
  </si>
  <si>
    <t>5.1.3</t>
  </si>
  <si>
    <r>
      <rPr>
        <b/>
        <sz val="11"/>
        <rFont val="Times New Roman"/>
        <family val="1"/>
        <charset val="204"/>
      </rPr>
      <t>Мероприятие подпрограммы 2.03</t>
    </r>
    <r>
      <rPr>
        <sz val="11"/>
        <rFont val="Times New Roman"/>
        <family val="1"/>
        <charset val="204"/>
      </rPr>
      <t xml:space="preserve"> Строительство школы на 500 мест по адресу: Тверская область, Калининский муниципальный округ, с. Бурашево</t>
    </r>
  </si>
  <si>
    <t>в течение 2026 года</t>
  </si>
  <si>
    <t>6</t>
  </si>
  <si>
    <t>Подпрограмма 6 "Обеспечивающая подпрограмма"</t>
  </si>
  <si>
    <t>Обеспечение 
деятельности управления образования администрации Калининского муниципального округа</t>
  </si>
  <si>
    <t>МКУ "ЦОДСО Калининского муниципального округа"</t>
  </si>
  <si>
    <t>6.1</t>
  </si>
  <si>
    <t>Задача 1 подпрограммы 6 "Обеспечение деятельности системы образования Калининского округа"</t>
  </si>
  <si>
    <t>6.1.1</t>
  </si>
  <si>
    <r>
      <rPr>
        <b/>
        <sz val="11"/>
        <rFont val="Times New Roman"/>
        <family val="1"/>
        <charset val="204"/>
      </rPr>
      <t>Мероприятие программы 6.01</t>
    </r>
    <r>
      <rPr>
        <sz val="11"/>
        <rFont val="Times New Roman"/>
        <family val="1"/>
        <charset val="204"/>
      </rPr>
      <t xml:space="preserve"> "Обеспечение деятельности казенных учреждений, обслуживающих отрасль "Образование"</t>
    </r>
  </si>
  <si>
    <t>Исполнитель: Рыльцина Елена Олеговна, 33-14-76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</si>
</sst>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Times New Roman"/>
      <family val="2"/>
      <charset val="204"/>
    </font>
    <font>
      <sz val="11"/>
      <color theme="1"/>
      <name val="Calibri"/>
      <family val="2"/>
      <charset val="204"/>
      <scheme val="minor"/>
    </font>
    <font>
      <sz val="11"/>
      <name val="Times New Roman"/>
      <family val="1"/>
      <charset val="204"/>
    </font>
    <font>
      <sz val="10"/>
      <name val="Times New Roman"/>
      <family val="1"/>
      <charset val="204"/>
    </font>
    <font>
      <b/>
      <sz val="12"/>
      <name val="Times New Roman"/>
      <family val="1"/>
      <charset val="204"/>
    </font>
    <font>
      <sz val="12"/>
      <name val="Times New Roman"/>
      <family val="1"/>
      <charset val="204"/>
    </font>
    <font>
      <b/>
      <sz val="11"/>
      <name val="Times New Roman"/>
      <family val="1"/>
      <charset val="204"/>
    </font>
    <font>
      <b/>
      <sz val="11"/>
      <color rgb="FFC00000"/>
      <name val="Times New Roman"/>
      <family val="1"/>
      <charset val="204"/>
    </font>
    <font>
      <sz val="11"/>
      <color rgb="FFC00000"/>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9">
    <xf numFmtId="0" fontId="0" fillId="0" borderId="0" xfId="0"/>
    <xf numFmtId="49" fontId="2" fillId="0" borderId="0" xfId="1" applyNumberFormat="1" applyFont="1" applyAlignment="1">
      <alignment vertical="top"/>
    </xf>
    <xf numFmtId="0" fontId="2" fillId="0" borderId="0" xfId="1" applyFont="1" applyAlignment="1">
      <alignment vertical="top"/>
    </xf>
    <xf numFmtId="4" fontId="2" fillId="0" borderId="0" xfId="1" applyNumberFormat="1" applyFont="1" applyAlignment="1">
      <alignment vertical="top"/>
    </xf>
    <xf numFmtId="4" fontId="2" fillId="0" borderId="0" xfId="1" applyNumberFormat="1" applyFont="1"/>
    <xf numFmtId="0" fontId="2" fillId="0" borderId="0" xfId="1" applyFont="1"/>
    <xf numFmtId="49" fontId="2" fillId="0" borderId="0" xfId="1" applyNumberFormat="1" applyFont="1" applyAlignment="1">
      <alignment wrapText="1"/>
    </xf>
    <xf numFmtId="0" fontId="2" fillId="0" borderId="0" xfId="1" applyFont="1" applyAlignment="1">
      <alignment wrapText="1"/>
    </xf>
    <xf numFmtId="0" fontId="2" fillId="0" borderId="0" xfId="1" applyFont="1" applyAlignment="1">
      <alignment vertical="top" wrapText="1"/>
    </xf>
    <xf numFmtId="0" fontId="6" fillId="0" borderId="1" xfId="1" applyFont="1" applyBorder="1" applyAlignment="1">
      <alignment horizontal="left" vertical="center" wrapText="1"/>
    </xf>
    <xf numFmtId="4" fontId="6" fillId="0" borderId="1" xfId="1" applyNumberFormat="1" applyFont="1" applyBorder="1" applyAlignment="1">
      <alignment horizontal="center" vertical="center"/>
    </xf>
    <xf numFmtId="4" fontId="2" fillId="0" borderId="0" xfId="1" applyNumberFormat="1" applyFont="1" applyAlignment="1">
      <alignment horizontal="center" vertical="center"/>
    </xf>
    <xf numFmtId="0" fontId="6" fillId="0" borderId="1" xfId="1" applyFont="1" applyBorder="1" applyAlignment="1">
      <alignment horizontal="left" vertical="center"/>
    </xf>
    <xf numFmtId="0" fontId="7" fillId="0" borderId="1" xfId="1" applyFont="1" applyBorder="1" applyAlignment="1">
      <alignment horizontal="left" vertical="center" wrapText="1"/>
    </xf>
    <xf numFmtId="4" fontId="7" fillId="0" borderId="1" xfId="1" applyNumberFormat="1" applyFont="1" applyBorder="1" applyAlignment="1">
      <alignment horizontal="center" vertical="center"/>
    </xf>
    <xf numFmtId="0" fontId="2" fillId="0" borderId="6" xfId="1" applyFont="1" applyBorder="1" applyAlignment="1">
      <alignment horizontal="left" vertical="top" wrapText="1"/>
    </xf>
    <xf numFmtId="0" fontId="7" fillId="0" borderId="1" xfId="1" applyFont="1" applyBorder="1" applyAlignment="1">
      <alignment horizontal="left" vertical="center"/>
    </xf>
    <xf numFmtId="4" fontId="2" fillId="0" borderId="1" xfId="1" applyNumberFormat="1" applyFont="1" applyBorder="1" applyAlignment="1">
      <alignment horizontal="center" vertical="center"/>
    </xf>
    <xf numFmtId="4" fontId="6" fillId="0" borderId="0" xfId="1" applyNumberFormat="1" applyFont="1" applyAlignment="1">
      <alignment horizontal="center" vertical="center"/>
    </xf>
    <xf numFmtId="0" fontId="2" fillId="0" borderId="0" xfId="1" applyFont="1" applyAlignment="1">
      <alignment horizontal="left" vertical="top"/>
    </xf>
    <xf numFmtId="49" fontId="2" fillId="0" borderId="0" xfId="1" applyNumberFormat="1" applyFont="1"/>
    <xf numFmtId="0" fontId="2" fillId="0" borderId="1" xfId="1" applyFont="1" applyBorder="1" applyAlignment="1">
      <alignment vertical="center" wrapText="1"/>
    </xf>
    <xf numFmtId="0" fontId="2" fillId="0" borderId="1" xfId="1" applyFont="1" applyBorder="1" applyAlignment="1">
      <alignment horizontal="left" vertical="top" wrapText="1"/>
    </xf>
    <xf numFmtId="49" fontId="2" fillId="0" borderId="0" xfId="1" applyNumberFormat="1" applyFont="1" applyAlignment="1">
      <alignment horizontal="left"/>
    </xf>
    <xf numFmtId="49" fontId="7" fillId="0" borderId="1" xfId="1" applyNumberFormat="1" applyFont="1" applyBorder="1" applyAlignment="1">
      <alignment horizontal="center" vertical="center" wrapText="1"/>
    </xf>
    <xf numFmtId="0" fontId="7" fillId="0" borderId="1" xfId="1" applyFont="1" applyBorder="1" applyAlignment="1">
      <alignment vertical="center" wrapText="1"/>
    </xf>
    <xf numFmtId="0" fontId="8" fillId="0" borderId="1" xfId="1" applyFont="1" applyBorder="1" applyAlignment="1">
      <alignment horizontal="left" vertical="top" wrapText="1"/>
    </xf>
    <xf numFmtId="0" fontId="2" fillId="0" borderId="5" xfId="1" applyFont="1" applyBorder="1" applyAlignment="1">
      <alignment horizontal="left" vertical="top" wrapText="1"/>
    </xf>
    <xf numFmtId="0" fontId="2" fillId="0" borderId="6" xfId="1" applyFont="1" applyBorder="1" applyAlignment="1">
      <alignment horizontal="left" vertical="top" wrapText="1"/>
    </xf>
    <xf numFmtId="0" fontId="2" fillId="0" borderId="7" xfId="1" applyFont="1" applyBorder="1" applyAlignment="1">
      <alignment horizontal="left" vertical="top" wrapText="1"/>
    </xf>
    <xf numFmtId="49" fontId="6" fillId="0" borderId="1" xfId="1" applyNumberFormat="1" applyFont="1" applyBorder="1" applyAlignment="1">
      <alignment horizontal="center" vertical="center" wrapText="1"/>
    </xf>
    <xf numFmtId="0" fontId="6" fillId="0" borderId="1" xfId="1" applyFont="1" applyBorder="1" applyAlignment="1">
      <alignment vertical="center" wrapText="1"/>
    </xf>
    <xf numFmtId="49" fontId="2" fillId="0" borderId="1" xfId="1" applyNumberFormat="1" applyFont="1" applyBorder="1" applyAlignment="1">
      <alignment horizontal="center" vertical="center" wrapText="1"/>
    </xf>
    <xf numFmtId="0" fontId="8" fillId="0" borderId="5" xfId="1" applyFont="1" applyBorder="1" applyAlignment="1">
      <alignment horizontal="left" vertical="top" wrapText="1"/>
    </xf>
    <xf numFmtId="0" fontId="8" fillId="0" borderId="6" xfId="1" applyFont="1" applyBorder="1" applyAlignment="1">
      <alignment horizontal="left" vertical="top" wrapText="1"/>
    </xf>
    <xf numFmtId="0" fontId="8" fillId="0" borderId="7" xfId="1" applyFont="1" applyBorder="1" applyAlignment="1">
      <alignment horizontal="left" vertical="top"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49" fontId="2" fillId="0" borderId="5" xfId="1" applyNumberFormat="1" applyFont="1" applyBorder="1" applyAlignment="1">
      <alignment horizontal="center" vertical="center" wrapText="1"/>
    </xf>
    <xf numFmtId="49" fontId="2" fillId="0" borderId="6" xfId="1" applyNumberFormat="1" applyFont="1" applyBorder="1" applyAlignment="1">
      <alignment horizontal="center" vertical="center" wrapText="1"/>
    </xf>
    <xf numFmtId="49" fontId="2" fillId="0" borderId="7" xfId="1" applyNumberFormat="1" applyFont="1" applyBorder="1" applyAlignment="1">
      <alignment horizontal="center" vertical="center" wrapText="1"/>
    </xf>
    <xf numFmtId="0" fontId="2" fillId="0" borderId="5" xfId="1" applyFont="1" applyBorder="1" applyAlignment="1">
      <alignment vertical="center" wrapText="1"/>
    </xf>
    <xf numFmtId="0" fontId="2" fillId="0" borderId="6" xfId="1" applyFont="1" applyBorder="1" applyAlignment="1">
      <alignment vertical="center" wrapText="1"/>
    </xf>
    <xf numFmtId="0" fontId="2" fillId="0" borderId="7" xfId="1" applyFont="1" applyBorder="1" applyAlignment="1">
      <alignment vertical="center" wrapText="1"/>
    </xf>
    <xf numFmtId="0" fontId="2" fillId="0" borderId="5" xfId="1" applyFont="1" applyBorder="1" applyAlignment="1">
      <alignment horizontal="center" vertical="top" wrapText="1"/>
    </xf>
    <xf numFmtId="0" fontId="2" fillId="0" borderId="6" xfId="1" applyFont="1" applyBorder="1" applyAlignment="1">
      <alignment horizontal="center" vertical="top" wrapText="1"/>
    </xf>
    <xf numFmtId="0" fontId="2" fillId="0" borderId="7" xfId="1" applyFont="1" applyBorder="1" applyAlignment="1">
      <alignment horizontal="center" vertical="top" wrapText="1"/>
    </xf>
    <xf numFmtId="49" fontId="6" fillId="0" borderId="5" xfId="1" applyNumberFormat="1" applyFont="1" applyBorder="1" applyAlignment="1">
      <alignment horizontal="center" vertical="center" wrapText="1"/>
    </xf>
    <xf numFmtId="49" fontId="6" fillId="0" borderId="6" xfId="1" applyNumberFormat="1" applyFont="1" applyBorder="1" applyAlignment="1">
      <alignment horizontal="center" vertical="center" wrapText="1"/>
    </xf>
    <xf numFmtId="49" fontId="6" fillId="0" borderId="7" xfId="1" applyNumberFormat="1" applyFont="1" applyBorder="1" applyAlignment="1">
      <alignment horizontal="center"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1" xfId="1" applyFont="1" applyBorder="1" applyAlignment="1">
      <alignment horizontal="left" vertical="top" wrapText="1"/>
    </xf>
    <xf numFmtId="0" fontId="6" fillId="0" borderId="5" xfId="1" applyFont="1" applyBorder="1" applyAlignment="1">
      <alignment horizontal="left" vertical="top" wrapText="1"/>
    </xf>
    <xf numFmtId="0" fontId="6" fillId="0" borderId="6" xfId="1" applyFont="1" applyBorder="1" applyAlignment="1">
      <alignment horizontal="left" vertical="top" wrapText="1"/>
    </xf>
    <xf numFmtId="0" fontId="6" fillId="0" borderId="7" xfId="1" applyFont="1" applyBorder="1" applyAlignment="1">
      <alignment horizontal="left" vertical="top" wrapText="1"/>
    </xf>
    <xf numFmtId="0" fontId="6" fillId="0" borderId="5" xfId="1" applyFont="1" applyBorder="1" applyAlignment="1">
      <alignment horizontal="left" vertical="center" wrapText="1"/>
    </xf>
    <xf numFmtId="49" fontId="6" fillId="0" borderId="1" xfId="1" applyNumberFormat="1" applyFont="1" applyBorder="1" applyAlignment="1">
      <alignment vertical="center" wrapText="1"/>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1" xfId="1" applyFont="1" applyBorder="1" applyAlignment="1">
      <alignment horizontal="center" vertical="center"/>
    </xf>
    <xf numFmtId="0" fontId="3" fillId="0" borderId="0" xfId="1" applyFont="1" applyAlignment="1">
      <alignment horizontal="right" vertical="center" wrapText="1"/>
    </xf>
    <xf numFmtId="0" fontId="4" fillId="0" borderId="0" xfId="1" applyFont="1" applyAlignment="1">
      <alignment horizontal="center" wrapText="1"/>
    </xf>
    <xf numFmtId="0" fontId="5" fillId="0" borderId="0" xfId="1" applyFont="1" applyAlignment="1">
      <alignment horizontal="center" wrapText="1"/>
    </xf>
    <xf numFmtId="0" fontId="2" fillId="0" borderId="0" xfId="1" applyFont="1" applyAlignment="1">
      <alignment horizontal="right" vertical="top" wrapText="1"/>
    </xf>
  </cellXfs>
  <cellStyles count="2">
    <cellStyle name="Обычный" xfId="0" builtinId="0"/>
    <cellStyle name="Обычный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261"/>
  <sheetViews>
    <sheetView tabSelected="1" view="pageBreakPreview" topLeftCell="A209" zoomScale="80" zoomScaleNormal="80" zoomScaleSheetLayoutView="80" workbookViewId="0">
      <selection activeCell="D211" sqref="D211"/>
    </sheetView>
  </sheetViews>
  <sheetFormatPr defaultRowHeight="15" x14ac:dyDescent="0.25"/>
  <cols>
    <col min="1" max="1" width="10.75" style="20" customWidth="1"/>
    <col min="2" max="2" width="58.375" style="5" customWidth="1"/>
    <col min="3" max="3" width="11.875" style="5" bestFit="1" customWidth="1"/>
    <col min="4" max="4" width="11.5" style="5" bestFit="1" customWidth="1"/>
    <col min="5" max="5" width="11.875" style="5" bestFit="1" customWidth="1"/>
    <col min="6" max="6" width="11.5" style="5" bestFit="1" customWidth="1"/>
    <col min="7" max="7" width="11.875" style="5" bestFit="1" customWidth="1"/>
    <col min="8" max="8" width="11.5" style="5" bestFit="1" customWidth="1"/>
    <col min="9" max="9" width="19.875" style="2" customWidth="1"/>
    <col min="10" max="10" width="17.125" style="19" customWidth="1"/>
    <col min="11" max="11" width="17.5" style="2" customWidth="1"/>
    <col min="12" max="14" width="10.875" style="4" bestFit="1" customWidth="1"/>
    <col min="15" max="16384" width="9" style="5"/>
  </cols>
  <sheetData>
    <row r="1" spans="1:14" s="2" customFormat="1" ht="66.75" customHeight="1" x14ac:dyDescent="0.25">
      <c r="A1" s="1"/>
      <c r="D1" s="65" t="s">
        <v>0</v>
      </c>
      <c r="E1" s="65"/>
      <c r="F1" s="65"/>
      <c r="G1" s="65"/>
      <c r="H1" s="65"/>
      <c r="I1" s="65"/>
      <c r="J1" s="65"/>
      <c r="K1" s="65"/>
      <c r="L1" s="3"/>
      <c r="M1" s="3"/>
      <c r="N1" s="3"/>
    </row>
    <row r="2" spans="1:14" ht="15.75" x14ac:dyDescent="0.25">
      <c r="A2" s="66" t="s">
        <v>1</v>
      </c>
      <c r="B2" s="66"/>
      <c r="C2" s="66"/>
      <c r="D2" s="66"/>
      <c r="E2" s="66"/>
      <c r="F2" s="66"/>
      <c r="G2" s="66"/>
      <c r="H2" s="66"/>
      <c r="I2" s="66"/>
      <c r="J2" s="66"/>
      <c r="K2" s="66"/>
    </row>
    <row r="3" spans="1:14" ht="15.75" x14ac:dyDescent="0.25">
      <c r="A3" s="66" t="s">
        <v>2</v>
      </c>
      <c r="B3" s="66"/>
      <c r="C3" s="66"/>
      <c r="D3" s="66"/>
      <c r="E3" s="66"/>
      <c r="F3" s="66"/>
      <c r="G3" s="66"/>
      <c r="H3" s="66"/>
      <c r="I3" s="66"/>
      <c r="J3" s="66"/>
      <c r="K3" s="66"/>
    </row>
    <row r="4" spans="1:14" ht="15.75" x14ac:dyDescent="0.25">
      <c r="A4" s="67" t="s">
        <v>3</v>
      </c>
      <c r="B4" s="67"/>
      <c r="C4" s="67"/>
      <c r="D4" s="67"/>
      <c r="E4" s="67"/>
      <c r="F4" s="67"/>
      <c r="G4" s="67"/>
      <c r="H4" s="67"/>
      <c r="I4" s="67"/>
      <c r="J4" s="67"/>
      <c r="K4" s="67"/>
    </row>
    <row r="5" spans="1:14" ht="15.75" x14ac:dyDescent="0.25">
      <c r="A5" s="66" t="s">
        <v>4</v>
      </c>
      <c r="B5" s="66"/>
      <c r="C5" s="66"/>
      <c r="D5" s="66"/>
      <c r="E5" s="66"/>
      <c r="F5" s="66"/>
      <c r="G5" s="66"/>
      <c r="H5" s="66"/>
      <c r="I5" s="66"/>
      <c r="J5" s="66"/>
      <c r="K5" s="66"/>
    </row>
    <row r="6" spans="1:14" x14ac:dyDescent="0.25">
      <c r="A6" s="6"/>
      <c r="B6" s="7"/>
      <c r="C6" s="7"/>
      <c r="D6" s="7"/>
      <c r="E6" s="7"/>
      <c r="F6" s="7"/>
      <c r="G6" s="7"/>
      <c r="H6" s="7"/>
      <c r="I6" s="8"/>
      <c r="J6" s="68"/>
      <c r="K6" s="68"/>
    </row>
    <row r="7" spans="1:14" ht="21.75" customHeight="1" x14ac:dyDescent="0.25">
      <c r="A7" s="30" t="s">
        <v>5</v>
      </c>
      <c r="B7" s="60" t="s">
        <v>6</v>
      </c>
      <c r="C7" s="61" t="s">
        <v>7</v>
      </c>
      <c r="D7" s="62"/>
      <c r="E7" s="62"/>
      <c r="F7" s="62"/>
      <c r="G7" s="62"/>
      <c r="H7" s="63"/>
      <c r="I7" s="60" t="s">
        <v>8</v>
      </c>
      <c r="J7" s="60" t="s">
        <v>9</v>
      </c>
      <c r="K7" s="60" t="s">
        <v>10</v>
      </c>
    </row>
    <row r="8" spans="1:14" ht="41.25" customHeight="1" x14ac:dyDescent="0.25">
      <c r="A8" s="30"/>
      <c r="B8" s="60"/>
      <c r="C8" s="64" t="s">
        <v>11</v>
      </c>
      <c r="D8" s="64" t="s">
        <v>12</v>
      </c>
      <c r="E8" s="64" t="s">
        <v>13</v>
      </c>
      <c r="F8" s="64" t="s">
        <v>12</v>
      </c>
      <c r="G8" s="64" t="s">
        <v>14</v>
      </c>
      <c r="H8" s="64" t="s">
        <v>12</v>
      </c>
      <c r="I8" s="60"/>
      <c r="J8" s="60"/>
      <c r="K8" s="60"/>
    </row>
    <row r="9" spans="1:14" ht="55.5" customHeight="1" x14ac:dyDescent="0.25">
      <c r="A9" s="30" t="s">
        <v>15</v>
      </c>
      <c r="B9" s="59" t="s">
        <v>16</v>
      </c>
      <c r="C9" s="9" t="s">
        <v>17</v>
      </c>
      <c r="D9" s="10">
        <f>D11+D12+D13+D14</f>
        <v>1676734.9903200001</v>
      </c>
      <c r="E9" s="9" t="s">
        <v>17</v>
      </c>
      <c r="F9" s="10">
        <f>F11+F12+F13+F14</f>
        <v>1746184.29</v>
      </c>
      <c r="G9" s="9" t="s">
        <v>17</v>
      </c>
      <c r="H9" s="10">
        <f>H11+H12+H13+H14</f>
        <v>1865872.41</v>
      </c>
      <c r="I9" s="22" t="s">
        <v>18</v>
      </c>
      <c r="J9" s="22" t="s">
        <v>19</v>
      </c>
      <c r="K9" s="22" t="s">
        <v>20</v>
      </c>
      <c r="L9" s="11">
        <v>1676735.03</v>
      </c>
      <c r="M9" s="11">
        <v>1746184.29</v>
      </c>
      <c r="N9" s="11">
        <v>1865872.41</v>
      </c>
    </row>
    <row r="10" spans="1:14" ht="55.5" customHeight="1" x14ac:dyDescent="0.25">
      <c r="A10" s="30"/>
      <c r="B10" s="31"/>
      <c r="C10" s="9" t="s">
        <v>21</v>
      </c>
      <c r="D10" s="10"/>
      <c r="E10" s="9" t="s">
        <v>21</v>
      </c>
      <c r="F10" s="10"/>
      <c r="G10" s="9" t="s">
        <v>21</v>
      </c>
      <c r="H10" s="10"/>
      <c r="I10" s="22"/>
      <c r="J10" s="22"/>
      <c r="K10" s="22"/>
      <c r="L10" s="11" t="b">
        <f>L9=D9</f>
        <v>0</v>
      </c>
      <c r="M10" s="11" t="b">
        <f>F9=M9</f>
        <v>1</v>
      </c>
      <c r="N10" s="11" t="b">
        <f>H9=N9</f>
        <v>1</v>
      </c>
    </row>
    <row r="11" spans="1:14" ht="55.5" customHeight="1" x14ac:dyDescent="0.25">
      <c r="A11" s="30"/>
      <c r="B11" s="31"/>
      <c r="C11" s="12" t="s">
        <v>22</v>
      </c>
      <c r="D11" s="10">
        <f>D17+D599+D2111+D2171+D2207+D2243</f>
        <v>76969.399999999994</v>
      </c>
      <c r="E11" s="12" t="s">
        <v>22</v>
      </c>
      <c r="F11" s="10">
        <f>F17+F599+F2111+F2171+F2207+F2243</f>
        <v>56068.06</v>
      </c>
      <c r="G11" s="12" t="s">
        <v>22</v>
      </c>
      <c r="H11" s="10">
        <f>H17+H599+H2111+H2171+H2207+H2243</f>
        <v>152665.51999999999</v>
      </c>
      <c r="I11" s="22"/>
      <c r="J11" s="22"/>
      <c r="K11" s="22"/>
    </row>
    <row r="12" spans="1:14" ht="55.5" customHeight="1" x14ac:dyDescent="0.25">
      <c r="A12" s="30"/>
      <c r="B12" s="31"/>
      <c r="C12" s="12" t="s">
        <v>23</v>
      </c>
      <c r="D12" s="10">
        <f>D18+D600+D2112+D2172+D2208+D2244</f>
        <v>914738.85073000006</v>
      </c>
      <c r="E12" s="12" t="s">
        <v>23</v>
      </c>
      <c r="F12" s="10">
        <f>F18+F600+F2112+F2172+F2208+F2244</f>
        <v>918435.02</v>
      </c>
      <c r="G12" s="12" t="s">
        <v>23</v>
      </c>
      <c r="H12" s="10">
        <f>H18+H600+H2112+H2172+H2208+H2244</f>
        <v>925972.7</v>
      </c>
      <c r="I12" s="22"/>
      <c r="J12" s="22"/>
      <c r="K12" s="22"/>
    </row>
    <row r="13" spans="1:14" ht="55.5" customHeight="1" x14ac:dyDescent="0.25">
      <c r="A13" s="30"/>
      <c r="B13" s="31"/>
      <c r="C13" s="12" t="s">
        <v>24</v>
      </c>
      <c r="D13" s="10">
        <f>D19+D601+D2113+D2173+D2209+D2245</f>
        <v>685026.73959000001</v>
      </c>
      <c r="E13" s="12" t="s">
        <v>24</v>
      </c>
      <c r="F13" s="10">
        <f>F19+F601+F2113+F2173+F2209+F2245</f>
        <v>771681.21</v>
      </c>
      <c r="G13" s="12" t="s">
        <v>24</v>
      </c>
      <c r="H13" s="10">
        <f>H19+H601+H2113+H2173+H2209+H2245</f>
        <v>787234.19</v>
      </c>
      <c r="I13" s="22"/>
      <c r="J13" s="22"/>
      <c r="K13" s="22"/>
    </row>
    <row r="14" spans="1:14" ht="55.5" customHeight="1" x14ac:dyDescent="0.25">
      <c r="A14" s="30"/>
      <c r="B14" s="31"/>
      <c r="C14" s="12" t="s">
        <v>25</v>
      </c>
      <c r="D14" s="10">
        <f>D20+D602+D2114+D2174+D2210+D2246</f>
        <v>0</v>
      </c>
      <c r="E14" s="12" t="s">
        <v>25</v>
      </c>
      <c r="F14" s="10">
        <f>F20+F602+F2114+F2174+F2210+F2246</f>
        <v>0</v>
      </c>
      <c r="G14" s="12" t="s">
        <v>25</v>
      </c>
      <c r="H14" s="10">
        <f>H20+H602+H2114+H2174+H2210+H2246</f>
        <v>0</v>
      </c>
      <c r="I14" s="22"/>
      <c r="J14" s="22"/>
      <c r="K14" s="22"/>
    </row>
    <row r="15" spans="1:14" x14ac:dyDescent="0.25">
      <c r="A15" s="24" t="s">
        <v>26</v>
      </c>
      <c r="B15" s="25" t="s">
        <v>27</v>
      </c>
      <c r="C15" s="13" t="s">
        <v>28</v>
      </c>
      <c r="D15" s="14">
        <f>D17+D18+D19+D20</f>
        <v>361353.96828000003</v>
      </c>
      <c r="E15" s="13" t="s">
        <v>28</v>
      </c>
      <c r="F15" s="14">
        <f>F17+F18+F19+F20</f>
        <v>393505.72</v>
      </c>
      <c r="G15" s="13" t="s">
        <v>28</v>
      </c>
      <c r="H15" s="14">
        <f>H17+H18+H19+H20</f>
        <v>422377.1</v>
      </c>
      <c r="I15" s="26" t="s">
        <v>18</v>
      </c>
      <c r="J15" s="27" t="s">
        <v>29</v>
      </c>
      <c r="K15" s="22" t="s">
        <v>30</v>
      </c>
      <c r="L15" s="11">
        <v>361353.99</v>
      </c>
      <c r="M15" s="11">
        <v>393505.72</v>
      </c>
      <c r="N15" s="11">
        <v>422377.1</v>
      </c>
    </row>
    <row r="16" spans="1:14" x14ac:dyDescent="0.25">
      <c r="A16" s="24"/>
      <c r="B16" s="25"/>
      <c r="C16" s="13" t="s">
        <v>21</v>
      </c>
      <c r="D16" s="14"/>
      <c r="E16" s="13" t="s">
        <v>21</v>
      </c>
      <c r="F16" s="14"/>
      <c r="G16" s="13" t="s">
        <v>21</v>
      </c>
      <c r="H16" s="14"/>
      <c r="I16" s="26"/>
      <c r="J16" s="28"/>
      <c r="K16" s="22"/>
      <c r="L16" s="11" t="b">
        <f>D15=L15</f>
        <v>0</v>
      </c>
      <c r="M16" s="11" t="b">
        <f>F15=M15</f>
        <v>1</v>
      </c>
      <c r="N16" s="11" t="b">
        <f>H15=N15</f>
        <v>1</v>
      </c>
    </row>
    <row r="17" spans="1:11" x14ac:dyDescent="0.25">
      <c r="A17" s="24"/>
      <c r="B17" s="25"/>
      <c r="C17" s="16" t="s">
        <v>22</v>
      </c>
      <c r="D17" s="14">
        <f>D23+D65+D389+D365</f>
        <v>0</v>
      </c>
      <c r="E17" s="16" t="s">
        <v>22</v>
      </c>
      <c r="F17" s="14">
        <f>F23+F65+F389+F365</f>
        <v>0</v>
      </c>
      <c r="G17" s="16" t="s">
        <v>22</v>
      </c>
      <c r="H17" s="14">
        <f>H23+H65+H389+H365</f>
        <v>0</v>
      </c>
      <c r="I17" s="26"/>
      <c r="J17" s="28"/>
      <c r="K17" s="22"/>
    </row>
    <row r="18" spans="1:11" x14ac:dyDescent="0.25">
      <c r="A18" s="24"/>
      <c r="B18" s="25"/>
      <c r="C18" s="16" t="s">
        <v>23</v>
      </c>
      <c r="D18" s="14">
        <f>D24+D66+D390+D366</f>
        <v>171628.65073000002</v>
      </c>
      <c r="E18" s="16" t="s">
        <v>23</v>
      </c>
      <c r="F18" s="14">
        <f>F24+F66+F390+F366</f>
        <v>181446.3</v>
      </c>
      <c r="G18" s="16" t="s">
        <v>23</v>
      </c>
      <c r="H18" s="14">
        <f>H24+H66+H390+H366</f>
        <v>182278.69999999998</v>
      </c>
      <c r="I18" s="26"/>
      <c r="J18" s="28"/>
      <c r="K18" s="22"/>
    </row>
    <row r="19" spans="1:11" x14ac:dyDescent="0.25">
      <c r="A19" s="24"/>
      <c r="B19" s="25"/>
      <c r="C19" s="16" t="s">
        <v>24</v>
      </c>
      <c r="D19" s="14">
        <f>D25+D67+D391+D367</f>
        <v>189725.31755000001</v>
      </c>
      <c r="E19" s="16" t="s">
        <v>24</v>
      </c>
      <c r="F19" s="14">
        <f>F25+F67+F391+F367</f>
        <v>212059.41999999998</v>
      </c>
      <c r="G19" s="16" t="s">
        <v>24</v>
      </c>
      <c r="H19" s="14">
        <f>H25+H67+H391+H367</f>
        <v>240098.39999999997</v>
      </c>
      <c r="I19" s="26"/>
      <c r="J19" s="28"/>
      <c r="K19" s="22"/>
    </row>
    <row r="20" spans="1:11" x14ac:dyDescent="0.25">
      <c r="A20" s="24"/>
      <c r="B20" s="25"/>
      <c r="C20" s="16" t="s">
        <v>25</v>
      </c>
      <c r="D20" s="14">
        <f>D26+D68+D392+D368</f>
        <v>0</v>
      </c>
      <c r="E20" s="16" t="s">
        <v>25</v>
      </c>
      <c r="F20" s="14">
        <f>F26+F68+F392+F368</f>
        <v>0</v>
      </c>
      <c r="G20" s="16" t="s">
        <v>25</v>
      </c>
      <c r="H20" s="14">
        <f>H26+H68+H392+H368</f>
        <v>0</v>
      </c>
      <c r="I20" s="26"/>
      <c r="J20" s="28"/>
      <c r="K20" s="22"/>
    </row>
    <row r="21" spans="1:11" x14ac:dyDescent="0.25">
      <c r="A21" s="30" t="s">
        <v>31</v>
      </c>
      <c r="B21" s="31" t="s">
        <v>32</v>
      </c>
      <c r="C21" s="9" t="s">
        <v>17</v>
      </c>
      <c r="D21" s="10">
        <f>D23+D24+D25+D26</f>
        <v>324086.49797999999</v>
      </c>
      <c r="E21" s="9" t="s">
        <v>17</v>
      </c>
      <c r="F21" s="10">
        <f>F23+F24+F25+F26</f>
        <v>359397.4</v>
      </c>
      <c r="G21" s="9" t="s">
        <v>17</v>
      </c>
      <c r="H21" s="10">
        <f>H23+H24+H25+H26</f>
        <v>380161.39999999997</v>
      </c>
      <c r="I21" s="22" t="s">
        <v>18</v>
      </c>
      <c r="J21" s="28"/>
      <c r="K21" s="22" t="s">
        <v>30</v>
      </c>
    </row>
    <row r="22" spans="1:11" x14ac:dyDescent="0.25">
      <c r="A22" s="30"/>
      <c r="B22" s="31"/>
      <c r="C22" s="9" t="s">
        <v>21</v>
      </c>
      <c r="D22" s="10"/>
      <c r="E22" s="9" t="s">
        <v>21</v>
      </c>
      <c r="F22" s="10"/>
      <c r="G22" s="9" t="s">
        <v>21</v>
      </c>
      <c r="H22" s="10"/>
      <c r="I22" s="22"/>
      <c r="J22" s="28"/>
      <c r="K22" s="22"/>
    </row>
    <row r="23" spans="1:11" x14ac:dyDescent="0.25">
      <c r="A23" s="30"/>
      <c r="B23" s="31"/>
      <c r="C23" s="12" t="s">
        <v>22</v>
      </c>
      <c r="D23" s="10">
        <f>D29+D35+D41+D47+D53+D59</f>
        <v>0</v>
      </c>
      <c r="E23" s="12" t="s">
        <v>22</v>
      </c>
      <c r="F23" s="10">
        <f>F29+F35+F41+F47+F53+F59</f>
        <v>0</v>
      </c>
      <c r="G23" s="12" t="s">
        <v>22</v>
      </c>
      <c r="H23" s="10">
        <f>H29+H35+H41+H47+H53+H59</f>
        <v>0</v>
      </c>
      <c r="I23" s="22"/>
      <c r="J23" s="28"/>
      <c r="K23" s="22"/>
    </row>
    <row r="24" spans="1:11" x14ac:dyDescent="0.25">
      <c r="A24" s="30"/>
      <c r="B24" s="31"/>
      <c r="C24" s="12" t="s">
        <v>23</v>
      </c>
      <c r="D24" s="10">
        <f t="shared" ref="D24:F26" si="0">D30+D36+D42+D48+D54+D60</f>
        <v>167210.70000000001</v>
      </c>
      <c r="E24" s="12" t="s">
        <v>23</v>
      </c>
      <c r="F24" s="10">
        <f t="shared" si="0"/>
        <v>181446.3</v>
      </c>
      <c r="G24" s="12" t="s">
        <v>23</v>
      </c>
      <c r="H24" s="10">
        <f t="shared" ref="H24:H26" si="1">H30+H36+H42+H48+H54+H60</f>
        <v>182278.69999999998</v>
      </c>
      <c r="I24" s="22"/>
      <c r="J24" s="28"/>
      <c r="K24" s="22"/>
    </row>
    <row r="25" spans="1:11" x14ac:dyDescent="0.25">
      <c r="A25" s="30"/>
      <c r="B25" s="31"/>
      <c r="C25" s="12" t="s">
        <v>24</v>
      </c>
      <c r="D25" s="10">
        <f t="shared" si="0"/>
        <v>156875.79798</v>
      </c>
      <c r="E25" s="12" t="s">
        <v>24</v>
      </c>
      <c r="F25" s="10">
        <f t="shared" si="0"/>
        <v>177951.1</v>
      </c>
      <c r="G25" s="12" t="s">
        <v>24</v>
      </c>
      <c r="H25" s="10">
        <f t="shared" si="1"/>
        <v>197882.69999999998</v>
      </c>
      <c r="I25" s="22"/>
      <c r="J25" s="28"/>
      <c r="K25" s="22"/>
    </row>
    <row r="26" spans="1:11" x14ac:dyDescent="0.25">
      <c r="A26" s="30"/>
      <c r="B26" s="31"/>
      <c r="C26" s="12" t="s">
        <v>25</v>
      </c>
      <c r="D26" s="10">
        <f t="shared" si="0"/>
        <v>0</v>
      </c>
      <c r="E26" s="12" t="s">
        <v>25</v>
      </c>
      <c r="F26" s="10">
        <f t="shared" si="0"/>
        <v>0</v>
      </c>
      <c r="G26" s="12" t="s">
        <v>25</v>
      </c>
      <c r="H26" s="10">
        <f t="shared" si="1"/>
        <v>0</v>
      </c>
      <c r="I26" s="22"/>
      <c r="J26" s="28"/>
      <c r="K26" s="22"/>
    </row>
    <row r="27" spans="1:11" x14ac:dyDescent="0.25">
      <c r="A27" s="32" t="s">
        <v>33</v>
      </c>
      <c r="B27" s="21" t="s">
        <v>34</v>
      </c>
      <c r="C27" s="9" t="s">
        <v>28</v>
      </c>
      <c r="D27" s="17">
        <f>D29+D30+D31+D32</f>
        <v>157377</v>
      </c>
      <c r="E27" s="9" t="s">
        <v>28</v>
      </c>
      <c r="F27" s="17">
        <f>F29+F30+F31+F32</f>
        <v>165869.5</v>
      </c>
      <c r="G27" s="9" t="s">
        <v>28</v>
      </c>
      <c r="H27" s="17">
        <f>H29+H30+H31+H32</f>
        <v>166701.9</v>
      </c>
      <c r="I27" s="22" t="s">
        <v>18</v>
      </c>
      <c r="J27" s="28"/>
      <c r="K27" s="22" t="s">
        <v>30</v>
      </c>
    </row>
    <row r="28" spans="1:11" x14ac:dyDescent="0.25">
      <c r="A28" s="32"/>
      <c r="B28" s="21"/>
      <c r="C28" s="9" t="s">
        <v>21</v>
      </c>
      <c r="D28" s="17"/>
      <c r="E28" s="9" t="s">
        <v>21</v>
      </c>
      <c r="F28" s="17"/>
      <c r="G28" s="9" t="s">
        <v>21</v>
      </c>
      <c r="H28" s="17"/>
      <c r="I28" s="22"/>
      <c r="J28" s="28"/>
      <c r="K28" s="22"/>
    </row>
    <row r="29" spans="1:11" x14ac:dyDescent="0.25">
      <c r="A29" s="32"/>
      <c r="B29" s="21"/>
      <c r="C29" s="12" t="s">
        <v>22</v>
      </c>
      <c r="D29" s="17">
        <v>0</v>
      </c>
      <c r="E29" s="12" t="s">
        <v>22</v>
      </c>
      <c r="F29" s="17">
        <v>0</v>
      </c>
      <c r="G29" s="12" t="s">
        <v>22</v>
      </c>
      <c r="H29" s="17">
        <v>0</v>
      </c>
      <c r="I29" s="22"/>
      <c r="J29" s="28"/>
      <c r="K29" s="22"/>
    </row>
    <row r="30" spans="1:11" x14ac:dyDescent="0.25">
      <c r="A30" s="32"/>
      <c r="B30" s="21"/>
      <c r="C30" s="12" t="s">
        <v>23</v>
      </c>
      <c r="D30" s="17">
        <v>157377</v>
      </c>
      <c r="E30" s="12" t="s">
        <v>23</v>
      </c>
      <c r="F30" s="17">
        <v>165869.5</v>
      </c>
      <c r="G30" s="12" t="s">
        <v>23</v>
      </c>
      <c r="H30" s="17">
        <v>166701.9</v>
      </c>
      <c r="I30" s="22"/>
      <c r="J30" s="28"/>
      <c r="K30" s="22"/>
    </row>
    <row r="31" spans="1:11" x14ac:dyDescent="0.25">
      <c r="A31" s="32"/>
      <c r="B31" s="21"/>
      <c r="C31" s="12" t="s">
        <v>24</v>
      </c>
      <c r="D31" s="17">
        <v>0</v>
      </c>
      <c r="E31" s="12" t="s">
        <v>24</v>
      </c>
      <c r="F31" s="17">
        <v>0</v>
      </c>
      <c r="G31" s="12" t="s">
        <v>24</v>
      </c>
      <c r="H31" s="17">
        <v>0</v>
      </c>
      <c r="I31" s="22"/>
      <c r="J31" s="28"/>
      <c r="K31" s="22"/>
    </row>
    <row r="32" spans="1:11" x14ac:dyDescent="0.25">
      <c r="A32" s="32"/>
      <c r="B32" s="21"/>
      <c r="C32" s="12" t="s">
        <v>25</v>
      </c>
      <c r="D32" s="17">
        <v>0</v>
      </c>
      <c r="E32" s="12" t="s">
        <v>25</v>
      </c>
      <c r="F32" s="17">
        <v>0</v>
      </c>
      <c r="G32" s="12" t="s">
        <v>25</v>
      </c>
      <c r="H32" s="17">
        <v>0</v>
      </c>
      <c r="I32" s="22"/>
      <c r="J32" s="28"/>
      <c r="K32" s="22"/>
    </row>
    <row r="33" spans="1:11" ht="15" customHeight="1" x14ac:dyDescent="0.25">
      <c r="A33" s="32" t="s">
        <v>35</v>
      </c>
      <c r="B33" s="21" t="s">
        <v>36</v>
      </c>
      <c r="C33" s="9" t="s">
        <v>28</v>
      </c>
      <c r="D33" s="17">
        <f>D35+D36+D37+D38</f>
        <v>118473.1</v>
      </c>
      <c r="E33" s="9" t="s">
        <v>28</v>
      </c>
      <c r="F33" s="17">
        <f>F35+F36+F37+F38</f>
        <v>136528.6</v>
      </c>
      <c r="G33" s="9" t="s">
        <v>28</v>
      </c>
      <c r="H33" s="17">
        <f>H35+H36+H37+H38</f>
        <v>145157.9</v>
      </c>
      <c r="I33" s="22" t="s">
        <v>18</v>
      </c>
      <c r="J33" s="28"/>
      <c r="K33" s="22" t="s">
        <v>30</v>
      </c>
    </row>
    <row r="34" spans="1:11" x14ac:dyDescent="0.25">
      <c r="A34" s="32"/>
      <c r="B34" s="21"/>
      <c r="C34" s="9" t="s">
        <v>21</v>
      </c>
      <c r="D34" s="17"/>
      <c r="E34" s="9" t="s">
        <v>21</v>
      </c>
      <c r="F34" s="17"/>
      <c r="G34" s="9" t="s">
        <v>21</v>
      </c>
      <c r="H34" s="17"/>
      <c r="I34" s="22"/>
      <c r="J34" s="28"/>
      <c r="K34" s="22"/>
    </row>
    <row r="35" spans="1:11" x14ac:dyDescent="0.25">
      <c r="A35" s="32"/>
      <c r="B35" s="21"/>
      <c r="C35" s="12" t="s">
        <v>22</v>
      </c>
      <c r="D35" s="17">
        <v>0</v>
      </c>
      <c r="E35" s="12" t="s">
        <v>22</v>
      </c>
      <c r="F35" s="17">
        <v>0</v>
      </c>
      <c r="G35" s="12" t="s">
        <v>22</v>
      </c>
      <c r="H35" s="17">
        <v>0</v>
      </c>
      <c r="I35" s="22"/>
      <c r="J35" s="28"/>
      <c r="K35" s="22"/>
    </row>
    <row r="36" spans="1:11" x14ac:dyDescent="0.25">
      <c r="A36" s="32"/>
      <c r="B36" s="21"/>
      <c r="C36" s="12" t="s">
        <v>23</v>
      </c>
      <c r="D36" s="17">
        <v>0</v>
      </c>
      <c r="E36" s="12" t="s">
        <v>23</v>
      </c>
      <c r="F36" s="17">
        <v>0</v>
      </c>
      <c r="G36" s="12" t="s">
        <v>23</v>
      </c>
      <c r="H36" s="17">
        <v>0</v>
      </c>
      <c r="I36" s="22"/>
      <c r="J36" s="28"/>
      <c r="K36" s="22"/>
    </row>
    <row r="37" spans="1:11" x14ac:dyDescent="0.25">
      <c r="A37" s="32"/>
      <c r="B37" s="21"/>
      <c r="C37" s="12" t="s">
        <v>24</v>
      </c>
      <c r="D37" s="17">
        <v>118473.1</v>
      </c>
      <c r="E37" s="12" t="s">
        <v>24</v>
      </c>
      <c r="F37" s="17">
        <v>136528.6</v>
      </c>
      <c r="G37" s="12" t="s">
        <v>24</v>
      </c>
      <c r="H37" s="17">
        <v>145157.9</v>
      </c>
      <c r="I37" s="22"/>
      <c r="J37" s="28"/>
      <c r="K37" s="22"/>
    </row>
    <row r="38" spans="1:11" x14ac:dyDescent="0.25">
      <c r="A38" s="32"/>
      <c r="B38" s="21"/>
      <c r="C38" s="12" t="s">
        <v>25</v>
      </c>
      <c r="D38" s="17">
        <v>0</v>
      </c>
      <c r="E38" s="12" t="s">
        <v>25</v>
      </c>
      <c r="F38" s="17">
        <v>0</v>
      </c>
      <c r="G38" s="12" t="s">
        <v>25</v>
      </c>
      <c r="H38" s="17">
        <v>0</v>
      </c>
      <c r="I38" s="22"/>
      <c r="J38" s="28"/>
      <c r="K38" s="22"/>
    </row>
    <row r="39" spans="1:11" ht="15" customHeight="1" x14ac:dyDescent="0.25">
      <c r="A39" s="32" t="s">
        <v>37</v>
      </c>
      <c r="B39" s="21" t="s">
        <v>38</v>
      </c>
      <c r="C39" s="9" t="s">
        <v>28</v>
      </c>
      <c r="D39" s="17">
        <f>D41+D42+D43+D44</f>
        <v>22457.599999999999</v>
      </c>
      <c r="E39" s="9" t="s">
        <v>28</v>
      </c>
      <c r="F39" s="17">
        <f>F41+F42+F43+F44</f>
        <v>25922.5</v>
      </c>
      <c r="G39" s="9" t="s">
        <v>28</v>
      </c>
      <c r="H39" s="17">
        <f>H41+H42+H43+H44</f>
        <v>27089</v>
      </c>
      <c r="I39" s="22" t="s">
        <v>18</v>
      </c>
      <c r="J39" s="28"/>
      <c r="K39" s="22" t="s">
        <v>30</v>
      </c>
    </row>
    <row r="40" spans="1:11" x14ac:dyDescent="0.25">
      <c r="A40" s="32"/>
      <c r="B40" s="21"/>
      <c r="C40" s="9" t="s">
        <v>21</v>
      </c>
      <c r="D40" s="17"/>
      <c r="E40" s="9" t="s">
        <v>21</v>
      </c>
      <c r="F40" s="17"/>
      <c r="G40" s="9" t="s">
        <v>21</v>
      </c>
      <c r="H40" s="17"/>
      <c r="I40" s="22"/>
      <c r="J40" s="28"/>
      <c r="K40" s="22"/>
    </row>
    <row r="41" spans="1:11" x14ac:dyDescent="0.25">
      <c r="A41" s="32"/>
      <c r="B41" s="21"/>
      <c r="C41" s="12" t="s">
        <v>22</v>
      </c>
      <c r="D41" s="17">
        <v>0</v>
      </c>
      <c r="E41" s="12" t="s">
        <v>22</v>
      </c>
      <c r="F41" s="17">
        <v>0</v>
      </c>
      <c r="G41" s="12" t="s">
        <v>22</v>
      </c>
      <c r="H41" s="17">
        <v>0</v>
      </c>
      <c r="I41" s="22"/>
      <c r="J41" s="28"/>
      <c r="K41" s="22"/>
    </row>
    <row r="42" spans="1:11" x14ac:dyDescent="0.25">
      <c r="A42" s="32"/>
      <c r="B42" s="21"/>
      <c r="C42" s="12" t="s">
        <v>23</v>
      </c>
      <c r="D42" s="17">
        <v>0</v>
      </c>
      <c r="E42" s="12" t="s">
        <v>23</v>
      </c>
      <c r="F42" s="17">
        <v>0</v>
      </c>
      <c r="G42" s="12" t="s">
        <v>23</v>
      </c>
      <c r="H42" s="17">
        <v>0</v>
      </c>
      <c r="I42" s="22"/>
      <c r="J42" s="28"/>
      <c r="K42" s="22"/>
    </row>
    <row r="43" spans="1:11" x14ac:dyDescent="0.25">
      <c r="A43" s="32"/>
      <c r="B43" s="21"/>
      <c r="C43" s="12" t="s">
        <v>24</v>
      </c>
      <c r="D43" s="17">
        <v>22457.599999999999</v>
      </c>
      <c r="E43" s="12" t="s">
        <v>24</v>
      </c>
      <c r="F43" s="17">
        <v>25922.5</v>
      </c>
      <c r="G43" s="12" t="s">
        <v>24</v>
      </c>
      <c r="H43" s="17">
        <v>27089</v>
      </c>
      <c r="I43" s="22"/>
      <c r="J43" s="28"/>
      <c r="K43" s="22"/>
    </row>
    <row r="44" spans="1:11" x14ac:dyDescent="0.25">
      <c r="A44" s="32"/>
      <c r="B44" s="21"/>
      <c r="C44" s="12" t="s">
        <v>25</v>
      </c>
      <c r="D44" s="17">
        <v>0</v>
      </c>
      <c r="E44" s="12" t="s">
        <v>25</v>
      </c>
      <c r="F44" s="17">
        <v>0</v>
      </c>
      <c r="G44" s="12" t="s">
        <v>25</v>
      </c>
      <c r="H44" s="17">
        <v>0</v>
      </c>
      <c r="I44" s="22"/>
      <c r="J44" s="28"/>
      <c r="K44" s="22"/>
    </row>
    <row r="45" spans="1:11" x14ac:dyDescent="0.25">
      <c r="A45" s="32" t="s">
        <v>39</v>
      </c>
      <c r="B45" s="21" t="s">
        <v>40</v>
      </c>
      <c r="C45" s="9" t="s">
        <v>28</v>
      </c>
      <c r="D45" s="17">
        <f>D47+D48+D49+D50</f>
        <v>15929.6</v>
      </c>
      <c r="E45" s="9" t="s">
        <v>28</v>
      </c>
      <c r="F45" s="17">
        <f>F47+F48+F49+F50</f>
        <v>15500</v>
      </c>
      <c r="G45" s="9" t="s">
        <v>28</v>
      </c>
      <c r="H45" s="17">
        <f>H47+H48+H49+H50</f>
        <v>25635.8</v>
      </c>
      <c r="I45" s="22" t="s">
        <v>18</v>
      </c>
      <c r="J45" s="28"/>
      <c r="K45" s="22" t="s">
        <v>30</v>
      </c>
    </row>
    <row r="46" spans="1:11" x14ac:dyDescent="0.25">
      <c r="A46" s="32"/>
      <c r="B46" s="21"/>
      <c r="C46" s="9" t="s">
        <v>21</v>
      </c>
      <c r="D46" s="17"/>
      <c r="E46" s="9" t="s">
        <v>21</v>
      </c>
      <c r="F46" s="17"/>
      <c r="G46" s="9" t="s">
        <v>21</v>
      </c>
      <c r="H46" s="17"/>
      <c r="I46" s="22"/>
      <c r="J46" s="28"/>
      <c r="K46" s="22"/>
    </row>
    <row r="47" spans="1:11" x14ac:dyDescent="0.25">
      <c r="A47" s="32"/>
      <c r="B47" s="21"/>
      <c r="C47" s="12" t="s">
        <v>22</v>
      </c>
      <c r="D47" s="17">
        <v>0</v>
      </c>
      <c r="E47" s="12" t="s">
        <v>22</v>
      </c>
      <c r="F47" s="17">
        <v>0</v>
      </c>
      <c r="G47" s="12" t="s">
        <v>22</v>
      </c>
      <c r="H47" s="17">
        <v>0</v>
      </c>
      <c r="I47" s="22"/>
      <c r="J47" s="28"/>
      <c r="K47" s="22"/>
    </row>
    <row r="48" spans="1:11" x14ac:dyDescent="0.25">
      <c r="A48" s="32"/>
      <c r="B48" s="21"/>
      <c r="C48" s="12" t="s">
        <v>23</v>
      </c>
      <c r="D48" s="17">
        <v>0</v>
      </c>
      <c r="E48" s="12" t="s">
        <v>23</v>
      </c>
      <c r="F48" s="17">
        <v>0</v>
      </c>
      <c r="G48" s="12" t="s">
        <v>23</v>
      </c>
      <c r="H48" s="17">
        <v>0</v>
      </c>
      <c r="I48" s="22"/>
      <c r="J48" s="28"/>
      <c r="K48" s="22"/>
    </row>
    <row r="49" spans="1:11" x14ac:dyDescent="0.25">
      <c r="A49" s="32"/>
      <c r="B49" s="21"/>
      <c r="C49" s="12" t="s">
        <v>24</v>
      </c>
      <c r="D49" s="17">
        <v>15929.6</v>
      </c>
      <c r="E49" s="12" t="s">
        <v>24</v>
      </c>
      <c r="F49" s="17">
        <v>15500</v>
      </c>
      <c r="G49" s="12" t="s">
        <v>24</v>
      </c>
      <c r="H49" s="17">
        <v>25635.8</v>
      </c>
      <c r="I49" s="22"/>
      <c r="J49" s="28"/>
      <c r="K49" s="22"/>
    </row>
    <row r="50" spans="1:11" x14ac:dyDescent="0.25">
      <c r="A50" s="32"/>
      <c r="B50" s="21"/>
      <c r="C50" s="12" t="s">
        <v>25</v>
      </c>
      <c r="D50" s="17">
        <v>0</v>
      </c>
      <c r="E50" s="12" t="s">
        <v>25</v>
      </c>
      <c r="F50" s="17">
        <v>0</v>
      </c>
      <c r="G50" s="12" t="s">
        <v>25</v>
      </c>
      <c r="H50" s="17">
        <v>0</v>
      </c>
      <c r="I50" s="22"/>
      <c r="J50" s="28"/>
      <c r="K50" s="22"/>
    </row>
    <row r="51" spans="1:11" x14ac:dyDescent="0.25">
      <c r="A51" s="32" t="s">
        <v>41</v>
      </c>
      <c r="B51" s="21" t="s">
        <v>42</v>
      </c>
      <c r="C51" s="9" t="s">
        <v>28</v>
      </c>
      <c r="D51" s="17">
        <f>D53+D54+D55+D56</f>
        <v>8366.2000000000007</v>
      </c>
      <c r="E51" s="9" t="s">
        <v>28</v>
      </c>
      <c r="F51" s="17">
        <f>F53+F54+F55+F56</f>
        <v>15576.8</v>
      </c>
      <c r="G51" s="9" t="s">
        <v>28</v>
      </c>
      <c r="H51" s="17">
        <f>H53+H54+H55+H56</f>
        <v>15576.8</v>
      </c>
      <c r="I51" s="22" t="s">
        <v>18</v>
      </c>
      <c r="J51" s="28"/>
      <c r="K51" s="22" t="s">
        <v>30</v>
      </c>
    </row>
    <row r="52" spans="1:11" x14ac:dyDescent="0.25">
      <c r="A52" s="32"/>
      <c r="B52" s="21"/>
      <c r="C52" s="9" t="s">
        <v>21</v>
      </c>
      <c r="D52" s="17"/>
      <c r="E52" s="9" t="s">
        <v>21</v>
      </c>
      <c r="F52" s="17"/>
      <c r="G52" s="9" t="s">
        <v>21</v>
      </c>
      <c r="H52" s="17"/>
      <c r="I52" s="22"/>
      <c r="J52" s="28"/>
      <c r="K52" s="22"/>
    </row>
    <row r="53" spans="1:11" x14ac:dyDescent="0.25">
      <c r="A53" s="32"/>
      <c r="B53" s="21"/>
      <c r="C53" s="12" t="s">
        <v>22</v>
      </c>
      <c r="D53" s="17">
        <v>0</v>
      </c>
      <c r="E53" s="12" t="s">
        <v>22</v>
      </c>
      <c r="F53" s="17">
        <v>0</v>
      </c>
      <c r="G53" s="12" t="s">
        <v>22</v>
      </c>
      <c r="H53" s="17">
        <v>0</v>
      </c>
      <c r="I53" s="22"/>
      <c r="J53" s="28"/>
      <c r="K53" s="22"/>
    </row>
    <row r="54" spans="1:11" x14ac:dyDescent="0.25">
      <c r="A54" s="32"/>
      <c r="B54" s="21"/>
      <c r="C54" s="12" t="s">
        <v>23</v>
      </c>
      <c r="D54" s="17">
        <f>8366200/1000</f>
        <v>8366.2000000000007</v>
      </c>
      <c r="E54" s="12" t="s">
        <v>23</v>
      </c>
      <c r="F54" s="17">
        <v>15576.8</v>
      </c>
      <c r="G54" s="12" t="s">
        <v>23</v>
      </c>
      <c r="H54" s="17">
        <v>15576.8</v>
      </c>
      <c r="I54" s="22"/>
      <c r="J54" s="28"/>
      <c r="K54" s="22"/>
    </row>
    <row r="55" spans="1:11" x14ac:dyDescent="0.25">
      <c r="A55" s="32"/>
      <c r="B55" s="21"/>
      <c r="C55" s="12" t="s">
        <v>24</v>
      </c>
      <c r="D55" s="17">
        <v>0</v>
      </c>
      <c r="E55" s="12" t="s">
        <v>24</v>
      </c>
      <c r="F55" s="17">
        <v>0</v>
      </c>
      <c r="G55" s="12" t="s">
        <v>24</v>
      </c>
      <c r="H55" s="17">
        <v>0</v>
      </c>
      <c r="I55" s="22"/>
      <c r="J55" s="28"/>
      <c r="K55" s="22"/>
    </row>
    <row r="56" spans="1:11" ht="33" customHeight="1" x14ac:dyDescent="0.25">
      <c r="A56" s="32"/>
      <c r="B56" s="21"/>
      <c r="C56" s="12" t="s">
        <v>25</v>
      </c>
      <c r="D56" s="17">
        <v>0</v>
      </c>
      <c r="E56" s="12" t="s">
        <v>25</v>
      </c>
      <c r="F56" s="17">
        <v>0</v>
      </c>
      <c r="G56" s="12" t="s">
        <v>25</v>
      </c>
      <c r="H56" s="17">
        <v>0</v>
      </c>
      <c r="I56" s="22"/>
      <c r="J56" s="28"/>
      <c r="K56" s="22"/>
    </row>
    <row r="57" spans="1:11" x14ac:dyDescent="0.25">
      <c r="A57" s="32" t="s">
        <v>43</v>
      </c>
      <c r="B57" s="21" t="s">
        <v>44</v>
      </c>
      <c r="C57" s="9" t="s">
        <v>28</v>
      </c>
      <c r="D57" s="17">
        <f>D59+D60+D61+D62</f>
        <v>1482.9979800000001</v>
      </c>
      <c r="E57" s="9" t="s">
        <v>28</v>
      </c>
      <c r="F57" s="17">
        <f>F59+F60+F61+F62</f>
        <v>0</v>
      </c>
      <c r="G57" s="9" t="s">
        <v>28</v>
      </c>
      <c r="H57" s="17">
        <f>H59+H60+H61+H62</f>
        <v>0</v>
      </c>
      <c r="I57" s="22" t="s">
        <v>18</v>
      </c>
      <c r="J57" s="28"/>
      <c r="K57" s="22" t="s">
        <v>30</v>
      </c>
    </row>
    <row r="58" spans="1:11" x14ac:dyDescent="0.25">
      <c r="A58" s="32"/>
      <c r="B58" s="21"/>
      <c r="C58" s="9" t="s">
        <v>21</v>
      </c>
      <c r="D58" s="17"/>
      <c r="E58" s="9" t="s">
        <v>21</v>
      </c>
      <c r="F58" s="17"/>
      <c r="G58" s="9" t="s">
        <v>21</v>
      </c>
      <c r="H58" s="17"/>
      <c r="I58" s="22"/>
      <c r="J58" s="28"/>
      <c r="K58" s="22"/>
    </row>
    <row r="59" spans="1:11" x14ac:dyDescent="0.25">
      <c r="A59" s="32"/>
      <c r="B59" s="21"/>
      <c r="C59" s="12" t="s">
        <v>22</v>
      </c>
      <c r="D59" s="17">
        <v>0</v>
      </c>
      <c r="E59" s="12" t="s">
        <v>22</v>
      </c>
      <c r="F59" s="17">
        <v>0</v>
      </c>
      <c r="G59" s="12" t="s">
        <v>22</v>
      </c>
      <c r="H59" s="17">
        <v>0</v>
      </c>
      <c r="I59" s="22"/>
      <c r="J59" s="28"/>
      <c r="K59" s="22"/>
    </row>
    <row r="60" spans="1:11" x14ac:dyDescent="0.25">
      <c r="A60" s="32"/>
      <c r="B60" s="21"/>
      <c r="C60" s="12" t="s">
        <v>23</v>
      </c>
      <c r="D60" s="17">
        <v>1467.5</v>
      </c>
      <c r="E60" s="12" t="s">
        <v>23</v>
      </c>
      <c r="F60" s="17">
        <v>0</v>
      </c>
      <c r="G60" s="12" t="s">
        <v>23</v>
      </c>
      <c r="H60" s="17">
        <v>0</v>
      </c>
      <c r="I60" s="22"/>
      <c r="J60" s="28"/>
      <c r="K60" s="22"/>
    </row>
    <row r="61" spans="1:11" x14ac:dyDescent="0.25">
      <c r="A61" s="32"/>
      <c r="B61" s="21"/>
      <c r="C61" s="12" t="s">
        <v>24</v>
      </c>
      <c r="D61" s="17">
        <f>15497.98/1000</f>
        <v>15.49798</v>
      </c>
      <c r="E61" s="12" t="s">
        <v>24</v>
      </c>
      <c r="F61" s="17">
        <v>0</v>
      </c>
      <c r="G61" s="12" t="s">
        <v>24</v>
      </c>
      <c r="H61" s="17">
        <v>0</v>
      </c>
      <c r="I61" s="22"/>
      <c r="J61" s="28"/>
      <c r="K61" s="22"/>
    </row>
    <row r="62" spans="1:11" x14ac:dyDescent="0.25">
      <c r="A62" s="32"/>
      <c r="B62" s="21"/>
      <c r="C62" s="12" t="s">
        <v>25</v>
      </c>
      <c r="D62" s="17">
        <v>0</v>
      </c>
      <c r="E62" s="12" t="s">
        <v>25</v>
      </c>
      <c r="F62" s="17">
        <v>0</v>
      </c>
      <c r="G62" s="12" t="s">
        <v>25</v>
      </c>
      <c r="H62" s="17">
        <v>0</v>
      </c>
      <c r="I62" s="22"/>
      <c r="J62" s="29"/>
      <c r="K62" s="22"/>
    </row>
    <row r="63" spans="1:11" ht="15" customHeight="1" x14ac:dyDescent="0.25">
      <c r="A63" s="30" t="s">
        <v>45</v>
      </c>
      <c r="B63" s="31" t="s">
        <v>46</v>
      </c>
      <c r="C63" s="9" t="s">
        <v>28</v>
      </c>
      <c r="D63" s="10">
        <f>D65+D66+D67+D68</f>
        <v>16042.994700000003</v>
      </c>
      <c r="E63" s="9" t="s">
        <v>28</v>
      </c>
      <c r="F63" s="10">
        <f>F65+F66+F67+F68</f>
        <v>10873.050000000001</v>
      </c>
      <c r="G63" s="9" t="s">
        <v>28</v>
      </c>
      <c r="H63" s="10">
        <f>H65+H66+H67+H68</f>
        <v>15289.800000000001</v>
      </c>
      <c r="I63" s="22" t="s">
        <v>18</v>
      </c>
      <c r="J63" s="27" t="s">
        <v>47</v>
      </c>
      <c r="K63" s="22" t="s">
        <v>30</v>
      </c>
    </row>
    <row r="64" spans="1:11" x14ac:dyDescent="0.25">
      <c r="A64" s="30"/>
      <c r="B64" s="31"/>
      <c r="C64" s="9" t="s">
        <v>21</v>
      </c>
      <c r="D64" s="10"/>
      <c r="E64" s="9" t="s">
        <v>21</v>
      </c>
      <c r="F64" s="10"/>
      <c r="G64" s="9" t="s">
        <v>21</v>
      </c>
      <c r="H64" s="10"/>
      <c r="I64" s="22"/>
      <c r="J64" s="28"/>
      <c r="K64" s="22"/>
    </row>
    <row r="65" spans="1:11" x14ac:dyDescent="0.25">
      <c r="A65" s="30"/>
      <c r="B65" s="31"/>
      <c r="C65" s="12" t="s">
        <v>22</v>
      </c>
      <c r="D65" s="10">
        <f>D71+D215+D221+D239+D263+D281+D299+D317+D335+D353+D251</f>
        <v>0</v>
      </c>
      <c r="E65" s="12" t="s">
        <v>22</v>
      </c>
      <c r="F65" s="10">
        <f>F71+F215+F221+F239+F263+F281+F299+F317+F335+F353+F251</f>
        <v>0</v>
      </c>
      <c r="G65" s="12" t="s">
        <v>22</v>
      </c>
      <c r="H65" s="10">
        <f>H71+H215+H221+H239+H263+H281+H299+H317+H335+H353+H251</f>
        <v>0</v>
      </c>
      <c r="I65" s="22"/>
      <c r="J65" s="28"/>
      <c r="K65" s="22"/>
    </row>
    <row r="66" spans="1:11" x14ac:dyDescent="0.25">
      <c r="A66" s="30"/>
      <c r="B66" s="31"/>
      <c r="C66" s="12" t="s">
        <v>23</v>
      </c>
      <c r="D66" s="10">
        <f t="shared" ref="D66:F68" si="2">D72+D216+D222+D240+D264+D282+D300+D318+D336+D354+D252</f>
        <v>4417.9507299999996</v>
      </c>
      <c r="E66" s="12" t="s">
        <v>23</v>
      </c>
      <c r="F66" s="10">
        <f t="shared" si="2"/>
        <v>0</v>
      </c>
      <c r="G66" s="12" t="s">
        <v>23</v>
      </c>
      <c r="H66" s="10">
        <f t="shared" ref="H66:H68" si="3">H72+H216+H222+H240+H264+H282+H300+H318+H336+H354+H252</f>
        <v>0</v>
      </c>
      <c r="I66" s="22"/>
      <c r="J66" s="28"/>
      <c r="K66" s="22"/>
    </row>
    <row r="67" spans="1:11" x14ac:dyDescent="0.25">
      <c r="A67" s="30"/>
      <c r="B67" s="31"/>
      <c r="C67" s="12" t="s">
        <v>24</v>
      </c>
      <c r="D67" s="10">
        <f t="shared" si="2"/>
        <v>11625.043970000002</v>
      </c>
      <c r="E67" s="12" t="s">
        <v>24</v>
      </c>
      <c r="F67" s="10">
        <f t="shared" si="2"/>
        <v>10873.050000000001</v>
      </c>
      <c r="G67" s="12" t="s">
        <v>24</v>
      </c>
      <c r="H67" s="10">
        <f t="shared" si="3"/>
        <v>15289.800000000001</v>
      </c>
      <c r="I67" s="22"/>
      <c r="J67" s="28"/>
      <c r="K67" s="22"/>
    </row>
    <row r="68" spans="1:11" x14ac:dyDescent="0.25">
      <c r="A68" s="30"/>
      <c r="B68" s="31"/>
      <c r="C68" s="12" t="s">
        <v>25</v>
      </c>
      <c r="D68" s="10">
        <f t="shared" si="2"/>
        <v>0</v>
      </c>
      <c r="E68" s="12" t="s">
        <v>25</v>
      </c>
      <c r="F68" s="10">
        <f t="shared" si="2"/>
        <v>0</v>
      </c>
      <c r="G68" s="12" t="s">
        <v>25</v>
      </c>
      <c r="H68" s="10">
        <f t="shared" si="3"/>
        <v>0</v>
      </c>
      <c r="I68" s="22"/>
      <c r="J68" s="28"/>
      <c r="K68" s="22"/>
    </row>
    <row r="69" spans="1:11" x14ac:dyDescent="0.25">
      <c r="A69" s="32" t="s">
        <v>48</v>
      </c>
      <c r="B69" s="21" t="s">
        <v>49</v>
      </c>
      <c r="C69" s="9" t="s">
        <v>28</v>
      </c>
      <c r="D69" s="17">
        <f>D71+D72+D73+D74</f>
        <v>8940.2639700000018</v>
      </c>
      <c r="E69" s="9" t="s">
        <v>28</v>
      </c>
      <c r="F69" s="17">
        <f>F71+F72+F73+F74</f>
        <v>3402.3</v>
      </c>
      <c r="G69" s="9" t="s">
        <v>28</v>
      </c>
      <c r="H69" s="17">
        <f>H71+H72+H73+H74</f>
        <v>14756.7</v>
      </c>
      <c r="I69" s="22" t="s">
        <v>18</v>
      </c>
      <c r="J69" s="28"/>
      <c r="K69" s="22" t="s">
        <v>30</v>
      </c>
    </row>
    <row r="70" spans="1:11" x14ac:dyDescent="0.25">
      <c r="A70" s="32"/>
      <c r="B70" s="21"/>
      <c r="C70" s="9" t="s">
        <v>21</v>
      </c>
      <c r="D70" s="17"/>
      <c r="E70" s="9" t="s">
        <v>21</v>
      </c>
      <c r="F70" s="17"/>
      <c r="G70" s="9" t="s">
        <v>21</v>
      </c>
      <c r="H70" s="17"/>
      <c r="I70" s="22"/>
      <c r="J70" s="28"/>
      <c r="K70" s="22"/>
    </row>
    <row r="71" spans="1:11" x14ac:dyDescent="0.25">
      <c r="A71" s="32"/>
      <c r="B71" s="21"/>
      <c r="C71" s="12" t="s">
        <v>22</v>
      </c>
      <c r="D71" s="17">
        <f>D77+D83+D89+D95+D101+D113+D119+D125+D131+D137+D209+D107+D143+D149+D155+D161+D167+D173+D179+D185+D191+D197+D203</f>
        <v>0</v>
      </c>
      <c r="E71" s="12" t="s">
        <v>22</v>
      </c>
      <c r="F71" s="17">
        <f>F77+F83+F89+F95+F101+F113+F119+F125+F131+F137+F209+F107+F143+F149+F155+F161+F167+F173+F179+F185+F191+F197+F203</f>
        <v>0</v>
      </c>
      <c r="G71" s="12" t="s">
        <v>22</v>
      </c>
      <c r="H71" s="17">
        <f>H77+H83+H89+H95+H101+H113+H119+H125+H131+H137+H209+H107+H143+H149+H155+H161+H167+H173+H179+H185+H191+H197+H203</f>
        <v>0</v>
      </c>
      <c r="I71" s="22"/>
      <c r="J71" s="28"/>
      <c r="K71" s="22"/>
    </row>
    <row r="72" spans="1:11" x14ac:dyDescent="0.25">
      <c r="A72" s="32"/>
      <c r="B72" s="21"/>
      <c r="C72" s="12" t="s">
        <v>23</v>
      </c>
      <c r="D72" s="17">
        <f t="shared" ref="D72:F74" si="4">D78+D84+D90+D96+D102+D114+D120+D126+D132+D138+D210+D108+D144+D150+D156+D162+D168+D174+D180+D186+D192+D198+D204</f>
        <v>0</v>
      </c>
      <c r="E72" s="12" t="s">
        <v>23</v>
      </c>
      <c r="F72" s="17">
        <f t="shared" si="4"/>
        <v>0</v>
      </c>
      <c r="G72" s="12" t="s">
        <v>23</v>
      </c>
      <c r="H72" s="17">
        <f t="shared" ref="H72:H74" si="5">H78+H84+H90+H96+H102+H114+H120+H126+H132+H138+H210+H108+H144+H150+H156+H162+H168+H174+H180+H186+H192+H198+H204</f>
        <v>0</v>
      </c>
      <c r="I72" s="22"/>
      <c r="J72" s="28"/>
      <c r="K72" s="22"/>
    </row>
    <row r="73" spans="1:11" x14ac:dyDescent="0.25">
      <c r="A73" s="32"/>
      <c r="B73" s="21"/>
      <c r="C73" s="12" t="s">
        <v>24</v>
      </c>
      <c r="D73" s="17">
        <f t="shared" si="4"/>
        <v>8940.2639700000018</v>
      </c>
      <c r="E73" s="12" t="s">
        <v>24</v>
      </c>
      <c r="F73" s="17">
        <f t="shared" si="4"/>
        <v>3402.3</v>
      </c>
      <c r="G73" s="12" t="s">
        <v>24</v>
      </c>
      <c r="H73" s="17">
        <f t="shared" si="5"/>
        <v>14756.7</v>
      </c>
      <c r="I73" s="22"/>
      <c r="J73" s="28"/>
      <c r="K73" s="22"/>
    </row>
    <row r="74" spans="1:11" x14ac:dyDescent="0.25">
      <c r="A74" s="32"/>
      <c r="B74" s="21"/>
      <c r="C74" s="12" t="s">
        <v>25</v>
      </c>
      <c r="D74" s="17">
        <f t="shared" si="4"/>
        <v>0</v>
      </c>
      <c r="E74" s="12" t="s">
        <v>25</v>
      </c>
      <c r="F74" s="17">
        <f t="shared" si="4"/>
        <v>0</v>
      </c>
      <c r="G74" s="12" t="s">
        <v>25</v>
      </c>
      <c r="H74" s="17">
        <f t="shared" si="5"/>
        <v>0</v>
      </c>
      <c r="I74" s="22"/>
      <c r="J74" s="28"/>
      <c r="K74" s="22"/>
    </row>
    <row r="75" spans="1:11" x14ac:dyDescent="0.25">
      <c r="A75" s="32" t="s">
        <v>50</v>
      </c>
      <c r="B75" s="21" t="s">
        <v>51</v>
      </c>
      <c r="C75" s="9" t="s">
        <v>28</v>
      </c>
      <c r="D75" s="17">
        <f>D77+D78+D79+D80</f>
        <v>1344.89114</v>
      </c>
      <c r="E75" s="9" t="s">
        <v>28</v>
      </c>
      <c r="F75" s="17">
        <f>F77+F78+F79+F80</f>
        <v>0</v>
      </c>
      <c r="G75" s="9" t="s">
        <v>28</v>
      </c>
      <c r="H75" s="17">
        <v>0</v>
      </c>
      <c r="I75" s="22" t="s">
        <v>18</v>
      </c>
      <c r="J75" s="28"/>
      <c r="K75" s="22" t="s">
        <v>30</v>
      </c>
    </row>
    <row r="76" spans="1:11" x14ac:dyDescent="0.25">
      <c r="A76" s="32"/>
      <c r="B76" s="21"/>
      <c r="C76" s="9" t="s">
        <v>21</v>
      </c>
      <c r="D76" s="17"/>
      <c r="E76" s="9" t="s">
        <v>21</v>
      </c>
      <c r="F76" s="17"/>
      <c r="G76" s="9" t="s">
        <v>21</v>
      </c>
      <c r="H76" s="17"/>
      <c r="I76" s="22"/>
      <c r="J76" s="28"/>
      <c r="K76" s="22"/>
    </row>
    <row r="77" spans="1:11" x14ac:dyDescent="0.25">
      <c r="A77" s="32"/>
      <c r="B77" s="21"/>
      <c r="C77" s="12" t="s">
        <v>22</v>
      </c>
      <c r="D77" s="17">
        <v>0</v>
      </c>
      <c r="E77" s="12" t="s">
        <v>22</v>
      </c>
      <c r="F77" s="17">
        <v>0</v>
      </c>
      <c r="G77" s="12" t="s">
        <v>22</v>
      </c>
      <c r="H77" s="17">
        <v>0</v>
      </c>
      <c r="I77" s="22"/>
      <c r="J77" s="28"/>
      <c r="K77" s="22"/>
    </row>
    <row r="78" spans="1:11" x14ac:dyDescent="0.25">
      <c r="A78" s="32"/>
      <c r="B78" s="21"/>
      <c r="C78" s="12" t="s">
        <v>23</v>
      </c>
      <c r="D78" s="17">
        <v>0</v>
      </c>
      <c r="E78" s="12" t="s">
        <v>23</v>
      </c>
      <c r="F78" s="17">
        <v>0</v>
      </c>
      <c r="G78" s="12" t="s">
        <v>23</v>
      </c>
      <c r="H78" s="17">
        <v>0</v>
      </c>
      <c r="I78" s="22"/>
      <c r="J78" s="28"/>
      <c r="K78" s="22"/>
    </row>
    <row r="79" spans="1:11" x14ac:dyDescent="0.25">
      <c r="A79" s="32"/>
      <c r="B79" s="21"/>
      <c r="C79" s="12" t="s">
        <v>24</v>
      </c>
      <c r="D79" s="17">
        <f>1344891.14/1000</f>
        <v>1344.89114</v>
      </c>
      <c r="E79" s="12" t="s">
        <v>24</v>
      </c>
      <c r="F79" s="17">
        <v>0</v>
      </c>
      <c r="G79" s="12" t="s">
        <v>24</v>
      </c>
      <c r="H79" s="17">
        <v>0</v>
      </c>
      <c r="I79" s="22"/>
      <c r="J79" s="28"/>
      <c r="K79" s="22"/>
    </row>
    <row r="80" spans="1:11" x14ac:dyDescent="0.25">
      <c r="A80" s="32"/>
      <c r="B80" s="21"/>
      <c r="C80" s="12" t="s">
        <v>25</v>
      </c>
      <c r="D80" s="17">
        <v>0</v>
      </c>
      <c r="E80" s="12" t="s">
        <v>25</v>
      </c>
      <c r="F80" s="17">
        <v>0</v>
      </c>
      <c r="G80" s="12" t="s">
        <v>25</v>
      </c>
      <c r="H80" s="17">
        <v>0</v>
      </c>
      <c r="I80" s="22"/>
      <c r="J80" s="28"/>
      <c r="K80" s="22"/>
    </row>
    <row r="81" spans="1:11" x14ac:dyDescent="0.25">
      <c r="A81" s="32" t="s">
        <v>52</v>
      </c>
      <c r="B81" s="21" t="s">
        <v>53</v>
      </c>
      <c r="C81" s="9" t="s">
        <v>28</v>
      </c>
      <c r="D81" s="17">
        <f>D83+D84+D85+D86</f>
        <v>1467.4214899999999</v>
      </c>
      <c r="E81" s="9" t="s">
        <v>28</v>
      </c>
      <c r="F81" s="17">
        <f>F83+F84+F85+F86</f>
        <v>0</v>
      </c>
      <c r="G81" s="9" t="s">
        <v>28</v>
      </c>
      <c r="H81" s="17">
        <v>0</v>
      </c>
      <c r="I81" s="22" t="s">
        <v>18</v>
      </c>
      <c r="J81" s="28"/>
      <c r="K81" s="22" t="s">
        <v>30</v>
      </c>
    </row>
    <row r="82" spans="1:11" x14ac:dyDescent="0.25">
      <c r="A82" s="32"/>
      <c r="B82" s="21"/>
      <c r="C82" s="9" t="s">
        <v>21</v>
      </c>
      <c r="D82" s="17"/>
      <c r="E82" s="9" t="s">
        <v>21</v>
      </c>
      <c r="F82" s="17"/>
      <c r="G82" s="9" t="s">
        <v>21</v>
      </c>
      <c r="H82" s="17"/>
      <c r="I82" s="22"/>
      <c r="J82" s="28"/>
      <c r="K82" s="22"/>
    </row>
    <row r="83" spans="1:11" x14ac:dyDescent="0.25">
      <c r="A83" s="32"/>
      <c r="B83" s="21"/>
      <c r="C83" s="12" t="s">
        <v>22</v>
      </c>
      <c r="D83" s="17">
        <v>0</v>
      </c>
      <c r="E83" s="12" t="s">
        <v>22</v>
      </c>
      <c r="F83" s="17">
        <v>0</v>
      </c>
      <c r="G83" s="12" t="s">
        <v>22</v>
      </c>
      <c r="H83" s="17">
        <v>0</v>
      </c>
      <c r="I83" s="22"/>
      <c r="J83" s="28"/>
      <c r="K83" s="22"/>
    </row>
    <row r="84" spans="1:11" x14ac:dyDescent="0.25">
      <c r="A84" s="32"/>
      <c r="B84" s="21"/>
      <c r="C84" s="12" t="s">
        <v>23</v>
      </c>
      <c r="D84" s="17">
        <v>0</v>
      </c>
      <c r="E84" s="12" t="s">
        <v>23</v>
      </c>
      <c r="F84" s="17">
        <v>0</v>
      </c>
      <c r="G84" s="12" t="s">
        <v>23</v>
      </c>
      <c r="H84" s="17">
        <v>0</v>
      </c>
      <c r="I84" s="22"/>
      <c r="J84" s="28"/>
      <c r="K84" s="22"/>
    </row>
    <row r="85" spans="1:11" x14ac:dyDescent="0.25">
      <c r="A85" s="32"/>
      <c r="B85" s="21"/>
      <c r="C85" s="12" t="s">
        <v>24</v>
      </c>
      <c r="D85" s="17">
        <f>1467421.49/1000</f>
        <v>1467.4214899999999</v>
      </c>
      <c r="E85" s="12" t="s">
        <v>24</v>
      </c>
      <c r="F85" s="17">
        <v>0</v>
      </c>
      <c r="G85" s="12" t="s">
        <v>24</v>
      </c>
      <c r="H85" s="17">
        <v>0</v>
      </c>
      <c r="I85" s="22"/>
      <c r="J85" s="28"/>
      <c r="K85" s="22"/>
    </row>
    <row r="86" spans="1:11" x14ac:dyDescent="0.25">
      <c r="A86" s="32"/>
      <c r="B86" s="21"/>
      <c r="C86" s="12" t="s">
        <v>25</v>
      </c>
      <c r="D86" s="17">
        <v>0</v>
      </c>
      <c r="E86" s="12" t="s">
        <v>25</v>
      </c>
      <c r="F86" s="17">
        <v>0</v>
      </c>
      <c r="G86" s="12" t="s">
        <v>25</v>
      </c>
      <c r="H86" s="17">
        <v>0</v>
      </c>
      <c r="I86" s="22"/>
      <c r="J86" s="28"/>
      <c r="K86" s="22"/>
    </row>
    <row r="87" spans="1:11" x14ac:dyDescent="0.25">
      <c r="A87" s="32" t="s">
        <v>54</v>
      </c>
      <c r="B87" s="21" t="s">
        <v>55</v>
      </c>
      <c r="C87" s="9" t="s">
        <v>28</v>
      </c>
      <c r="D87" s="17">
        <f>D89+D90+D91+D92</f>
        <v>540.87390000000005</v>
      </c>
      <c r="E87" s="9" t="s">
        <v>28</v>
      </c>
      <c r="F87" s="17">
        <f>F89+F90+F91+F92</f>
        <v>0</v>
      </c>
      <c r="G87" s="9" t="s">
        <v>28</v>
      </c>
      <c r="H87" s="17">
        <v>0</v>
      </c>
      <c r="I87" s="22" t="s">
        <v>18</v>
      </c>
      <c r="J87" s="28"/>
      <c r="K87" s="22" t="s">
        <v>30</v>
      </c>
    </row>
    <row r="88" spans="1:11" x14ac:dyDescent="0.25">
      <c r="A88" s="32"/>
      <c r="B88" s="21"/>
      <c r="C88" s="9" t="s">
        <v>21</v>
      </c>
      <c r="D88" s="17"/>
      <c r="E88" s="9" t="s">
        <v>21</v>
      </c>
      <c r="F88" s="17"/>
      <c r="G88" s="9" t="s">
        <v>21</v>
      </c>
      <c r="H88" s="17"/>
      <c r="I88" s="22"/>
      <c r="J88" s="28"/>
      <c r="K88" s="22"/>
    </row>
    <row r="89" spans="1:11" x14ac:dyDescent="0.25">
      <c r="A89" s="32"/>
      <c r="B89" s="21"/>
      <c r="C89" s="12" t="s">
        <v>22</v>
      </c>
      <c r="D89" s="17">
        <v>0</v>
      </c>
      <c r="E89" s="12" t="s">
        <v>22</v>
      </c>
      <c r="F89" s="17">
        <v>0</v>
      </c>
      <c r="G89" s="12" t="s">
        <v>22</v>
      </c>
      <c r="H89" s="17">
        <v>0</v>
      </c>
      <c r="I89" s="22"/>
      <c r="J89" s="28"/>
      <c r="K89" s="22"/>
    </row>
    <row r="90" spans="1:11" x14ac:dyDescent="0.25">
      <c r="A90" s="32"/>
      <c r="B90" s="21"/>
      <c r="C90" s="12" t="s">
        <v>23</v>
      </c>
      <c r="D90" s="17">
        <v>0</v>
      </c>
      <c r="E90" s="12" t="s">
        <v>23</v>
      </c>
      <c r="F90" s="17">
        <v>0</v>
      </c>
      <c r="G90" s="12" t="s">
        <v>23</v>
      </c>
      <c r="H90" s="17">
        <v>0</v>
      </c>
      <c r="I90" s="22"/>
      <c r="J90" s="28"/>
      <c r="K90" s="22"/>
    </row>
    <row r="91" spans="1:11" x14ac:dyDescent="0.25">
      <c r="A91" s="32"/>
      <c r="B91" s="21"/>
      <c r="C91" s="12" t="s">
        <v>24</v>
      </c>
      <c r="D91" s="17">
        <f>540873.9/1000</f>
        <v>540.87390000000005</v>
      </c>
      <c r="E91" s="12" t="s">
        <v>24</v>
      </c>
      <c r="F91" s="17">
        <v>0</v>
      </c>
      <c r="G91" s="12" t="s">
        <v>24</v>
      </c>
      <c r="H91" s="17">
        <v>0</v>
      </c>
      <c r="I91" s="22"/>
      <c r="J91" s="28"/>
      <c r="K91" s="22"/>
    </row>
    <row r="92" spans="1:11" x14ac:dyDescent="0.25">
      <c r="A92" s="32"/>
      <c r="B92" s="21"/>
      <c r="C92" s="12" t="s">
        <v>25</v>
      </c>
      <c r="D92" s="17">
        <v>0</v>
      </c>
      <c r="E92" s="12" t="s">
        <v>25</v>
      </c>
      <c r="F92" s="17">
        <v>0</v>
      </c>
      <c r="G92" s="12" t="s">
        <v>25</v>
      </c>
      <c r="H92" s="17">
        <v>0</v>
      </c>
      <c r="I92" s="22"/>
      <c r="J92" s="28"/>
      <c r="K92" s="22"/>
    </row>
    <row r="93" spans="1:11" x14ac:dyDescent="0.25">
      <c r="A93" s="32" t="s">
        <v>56</v>
      </c>
      <c r="B93" s="21" t="s">
        <v>57</v>
      </c>
      <c r="C93" s="9" t="s">
        <v>28</v>
      </c>
      <c r="D93" s="17">
        <f>D95+D96+D97+D98</f>
        <v>486.07501999999999</v>
      </c>
      <c r="E93" s="9" t="s">
        <v>28</v>
      </c>
      <c r="F93" s="17">
        <f>F95+F96+F97+F98</f>
        <v>0</v>
      </c>
      <c r="G93" s="9" t="s">
        <v>28</v>
      </c>
      <c r="H93" s="17">
        <v>0</v>
      </c>
      <c r="I93" s="22" t="s">
        <v>18</v>
      </c>
      <c r="J93" s="28"/>
      <c r="K93" s="22" t="s">
        <v>30</v>
      </c>
    </row>
    <row r="94" spans="1:11" x14ac:dyDescent="0.25">
      <c r="A94" s="32"/>
      <c r="B94" s="21"/>
      <c r="C94" s="9" t="s">
        <v>21</v>
      </c>
      <c r="D94" s="17"/>
      <c r="E94" s="9" t="s">
        <v>21</v>
      </c>
      <c r="F94" s="17"/>
      <c r="G94" s="9" t="s">
        <v>21</v>
      </c>
      <c r="H94" s="17"/>
      <c r="I94" s="22"/>
      <c r="J94" s="28"/>
      <c r="K94" s="22"/>
    </row>
    <row r="95" spans="1:11" x14ac:dyDescent="0.25">
      <c r="A95" s="32"/>
      <c r="B95" s="21"/>
      <c r="C95" s="12" t="s">
        <v>22</v>
      </c>
      <c r="D95" s="17">
        <v>0</v>
      </c>
      <c r="E95" s="12" t="s">
        <v>22</v>
      </c>
      <c r="F95" s="17">
        <v>0</v>
      </c>
      <c r="G95" s="12" t="s">
        <v>22</v>
      </c>
      <c r="H95" s="17">
        <v>0</v>
      </c>
      <c r="I95" s="22"/>
      <c r="J95" s="28"/>
      <c r="K95" s="22"/>
    </row>
    <row r="96" spans="1:11" x14ac:dyDescent="0.25">
      <c r="A96" s="32"/>
      <c r="B96" s="21"/>
      <c r="C96" s="12" t="s">
        <v>23</v>
      </c>
      <c r="D96" s="17">
        <v>0</v>
      </c>
      <c r="E96" s="12" t="s">
        <v>23</v>
      </c>
      <c r="F96" s="17">
        <v>0</v>
      </c>
      <c r="G96" s="12" t="s">
        <v>23</v>
      </c>
      <c r="H96" s="17">
        <v>0</v>
      </c>
      <c r="I96" s="22"/>
      <c r="J96" s="28"/>
      <c r="K96" s="22"/>
    </row>
    <row r="97" spans="1:11" x14ac:dyDescent="0.25">
      <c r="A97" s="32"/>
      <c r="B97" s="21"/>
      <c r="C97" s="12" t="s">
        <v>24</v>
      </c>
      <c r="D97" s="17">
        <f>486075.02/1000</f>
        <v>486.07501999999999</v>
      </c>
      <c r="E97" s="12" t="s">
        <v>24</v>
      </c>
      <c r="F97" s="17">
        <v>0</v>
      </c>
      <c r="G97" s="12" t="s">
        <v>24</v>
      </c>
      <c r="H97" s="17">
        <v>0</v>
      </c>
      <c r="I97" s="22"/>
      <c r="J97" s="28"/>
      <c r="K97" s="22"/>
    </row>
    <row r="98" spans="1:11" x14ac:dyDescent="0.25">
      <c r="A98" s="32"/>
      <c r="B98" s="21"/>
      <c r="C98" s="12" t="s">
        <v>25</v>
      </c>
      <c r="D98" s="17">
        <v>0</v>
      </c>
      <c r="E98" s="12" t="s">
        <v>25</v>
      </c>
      <c r="F98" s="17">
        <v>0</v>
      </c>
      <c r="G98" s="12" t="s">
        <v>25</v>
      </c>
      <c r="H98" s="17">
        <v>0</v>
      </c>
      <c r="I98" s="22"/>
      <c r="J98" s="28"/>
      <c r="K98" s="22"/>
    </row>
    <row r="99" spans="1:11" x14ac:dyDescent="0.25">
      <c r="A99" s="32" t="s">
        <v>58</v>
      </c>
      <c r="B99" s="21" t="s">
        <v>59</v>
      </c>
      <c r="C99" s="9" t="s">
        <v>28</v>
      </c>
      <c r="D99" s="17">
        <f>D101+D102+D103+D104</f>
        <v>490.84421000000003</v>
      </c>
      <c r="E99" s="9" t="s">
        <v>28</v>
      </c>
      <c r="F99" s="17">
        <f>F101+F102+F103+F104</f>
        <v>0</v>
      </c>
      <c r="G99" s="9" t="s">
        <v>28</v>
      </c>
      <c r="H99" s="17">
        <v>0</v>
      </c>
      <c r="I99" s="22" t="s">
        <v>18</v>
      </c>
      <c r="J99" s="28"/>
      <c r="K99" s="22" t="s">
        <v>30</v>
      </c>
    </row>
    <row r="100" spans="1:11" x14ac:dyDescent="0.25">
      <c r="A100" s="32"/>
      <c r="B100" s="21"/>
      <c r="C100" s="9" t="s">
        <v>21</v>
      </c>
      <c r="D100" s="17"/>
      <c r="E100" s="9" t="s">
        <v>21</v>
      </c>
      <c r="F100" s="17"/>
      <c r="G100" s="9" t="s">
        <v>21</v>
      </c>
      <c r="H100" s="17"/>
      <c r="I100" s="22"/>
      <c r="J100" s="28"/>
      <c r="K100" s="22"/>
    </row>
    <row r="101" spans="1:11" x14ac:dyDescent="0.25">
      <c r="A101" s="32"/>
      <c r="B101" s="21"/>
      <c r="C101" s="12" t="s">
        <v>22</v>
      </c>
      <c r="D101" s="17">
        <v>0</v>
      </c>
      <c r="E101" s="12" t="s">
        <v>22</v>
      </c>
      <c r="F101" s="17">
        <v>0</v>
      </c>
      <c r="G101" s="12" t="s">
        <v>22</v>
      </c>
      <c r="H101" s="17">
        <v>0</v>
      </c>
      <c r="I101" s="22"/>
      <c r="J101" s="28"/>
      <c r="K101" s="22"/>
    </row>
    <row r="102" spans="1:11" x14ac:dyDescent="0.25">
      <c r="A102" s="32"/>
      <c r="B102" s="21"/>
      <c r="C102" s="12" t="s">
        <v>23</v>
      </c>
      <c r="D102" s="17">
        <v>0</v>
      </c>
      <c r="E102" s="12" t="s">
        <v>23</v>
      </c>
      <c r="F102" s="17">
        <v>0</v>
      </c>
      <c r="G102" s="12" t="s">
        <v>23</v>
      </c>
      <c r="H102" s="17">
        <v>0</v>
      </c>
      <c r="I102" s="22"/>
      <c r="J102" s="28"/>
      <c r="K102" s="22"/>
    </row>
    <row r="103" spans="1:11" x14ac:dyDescent="0.25">
      <c r="A103" s="32"/>
      <c r="B103" s="21"/>
      <c r="C103" s="12" t="s">
        <v>24</v>
      </c>
      <c r="D103" s="17">
        <f>490844.21/1000</f>
        <v>490.84421000000003</v>
      </c>
      <c r="E103" s="12" t="s">
        <v>24</v>
      </c>
      <c r="F103" s="17">
        <v>0</v>
      </c>
      <c r="G103" s="12" t="s">
        <v>24</v>
      </c>
      <c r="H103" s="17">
        <v>0</v>
      </c>
      <c r="I103" s="22"/>
      <c r="J103" s="28"/>
      <c r="K103" s="22"/>
    </row>
    <row r="104" spans="1:11" x14ac:dyDescent="0.25">
      <c r="A104" s="32"/>
      <c r="B104" s="21"/>
      <c r="C104" s="12" t="s">
        <v>25</v>
      </c>
      <c r="D104" s="17">
        <v>0</v>
      </c>
      <c r="E104" s="12" t="s">
        <v>25</v>
      </c>
      <c r="F104" s="17">
        <v>0</v>
      </c>
      <c r="G104" s="12" t="s">
        <v>25</v>
      </c>
      <c r="H104" s="17">
        <v>0</v>
      </c>
      <c r="I104" s="22"/>
      <c r="J104" s="28"/>
      <c r="K104" s="22"/>
    </row>
    <row r="105" spans="1:11" x14ac:dyDescent="0.25">
      <c r="A105" s="32" t="s">
        <v>60</v>
      </c>
      <c r="B105" s="21" t="s">
        <v>61</v>
      </c>
      <c r="C105" s="9" t="s">
        <v>28</v>
      </c>
      <c r="D105" s="17">
        <f>D107+D108+D109+D110</f>
        <v>88.27861</v>
      </c>
      <c r="E105" s="9" t="s">
        <v>28</v>
      </c>
      <c r="F105" s="17">
        <f>F107+F108+F109+F110</f>
        <v>0</v>
      </c>
      <c r="G105" s="9" t="s">
        <v>28</v>
      </c>
      <c r="H105" s="17">
        <v>0</v>
      </c>
      <c r="I105" s="22" t="s">
        <v>18</v>
      </c>
      <c r="J105" s="28"/>
      <c r="K105" s="22" t="s">
        <v>30</v>
      </c>
    </row>
    <row r="106" spans="1:11" x14ac:dyDescent="0.25">
      <c r="A106" s="32"/>
      <c r="B106" s="21"/>
      <c r="C106" s="9" t="s">
        <v>21</v>
      </c>
      <c r="D106" s="17"/>
      <c r="E106" s="9" t="s">
        <v>21</v>
      </c>
      <c r="F106" s="17"/>
      <c r="G106" s="9" t="s">
        <v>21</v>
      </c>
      <c r="H106" s="17"/>
      <c r="I106" s="22"/>
      <c r="J106" s="28"/>
      <c r="K106" s="22"/>
    </row>
    <row r="107" spans="1:11" x14ac:dyDescent="0.25">
      <c r="A107" s="32"/>
      <c r="B107" s="21"/>
      <c r="C107" s="12" t="s">
        <v>22</v>
      </c>
      <c r="D107" s="17">
        <v>0</v>
      </c>
      <c r="E107" s="12" t="s">
        <v>22</v>
      </c>
      <c r="F107" s="17">
        <v>0</v>
      </c>
      <c r="G107" s="12" t="s">
        <v>22</v>
      </c>
      <c r="H107" s="17">
        <v>0</v>
      </c>
      <c r="I107" s="22"/>
      <c r="J107" s="28"/>
      <c r="K107" s="22"/>
    </row>
    <row r="108" spans="1:11" x14ac:dyDescent="0.25">
      <c r="A108" s="32"/>
      <c r="B108" s="21"/>
      <c r="C108" s="12" t="s">
        <v>23</v>
      </c>
      <c r="D108" s="17">
        <v>0</v>
      </c>
      <c r="E108" s="12" t="s">
        <v>23</v>
      </c>
      <c r="F108" s="17">
        <v>0</v>
      </c>
      <c r="G108" s="12" t="s">
        <v>23</v>
      </c>
      <c r="H108" s="17">
        <v>0</v>
      </c>
      <c r="I108" s="22"/>
      <c r="J108" s="28"/>
      <c r="K108" s="22"/>
    </row>
    <row r="109" spans="1:11" x14ac:dyDescent="0.25">
      <c r="A109" s="32"/>
      <c r="B109" s="21"/>
      <c r="C109" s="12" t="s">
        <v>24</v>
      </c>
      <c r="D109" s="17">
        <f>88278.61/1000</f>
        <v>88.27861</v>
      </c>
      <c r="E109" s="12" t="s">
        <v>24</v>
      </c>
      <c r="F109" s="17">
        <v>0</v>
      </c>
      <c r="G109" s="12" t="s">
        <v>24</v>
      </c>
      <c r="H109" s="17">
        <v>0</v>
      </c>
      <c r="I109" s="22"/>
      <c r="J109" s="28"/>
      <c r="K109" s="22"/>
    </row>
    <row r="110" spans="1:11" x14ac:dyDescent="0.25">
      <c r="A110" s="32"/>
      <c r="B110" s="21"/>
      <c r="C110" s="12" t="s">
        <v>25</v>
      </c>
      <c r="D110" s="17">
        <v>0</v>
      </c>
      <c r="E110" s="12" t="s">
        <v>25</v>
      </c>
      <c r="F110" s="17">
        <v>0</v>
      </c>
      <c r="G110" s="12" t="s">
        <v>25</v>
      </c>
      <c r="H110" s="17">
        <v>0</v>
      </c>
      <c r="I110" s="22"/>
      <c r="J110" s="28"/>
      <c r="K110" s="22"/>
    </row>
    <row r="111" spans="1:11" x14ac:dyDescent="0.25">
      <c r="A111" s="32" t="s">
        <v>62</v>
      </c>
      <c r="B111" s="21" t="s">
        <v>63</v>
      </c>
      <c r="C111" s="9" t="s">
        <v>28</v>
      </c>
      <c r="D111" s="17">
        <f>D113+D114+D115+D116</f>
        <v>128.44253</v>
      </c>
      <c r="E111" s="9" t="s">
        <v>28</v>
      </c>
      <c r="F111" s="17">
        <f>F113+F114+F115+F116</f>
        <v>0</v>
      </c>
      <c r="G111" s="9" t="s">
        <v>28</v>
      </c>
      <c r="H111" s="17">
        <v>0</v>
      </c>
      <c r="I111" s="22" t="s">
        <v>18</v>
      </c>
      <c r="J111" s="28"/>
      <c r="K111" s="22" t="s">
        <v>30</v>
      </c>
    </row>
    <row r="112" spans="1:11" x14ac:dyDescent="0.25">
      <c r="A112" s="32"/>
      <c r="B112" s="21"/>
      <c r="C112" s="9" t="s">
        <v>21</v>
      </c>
      <c r="D112" s="17"/>
      <c r="E112" s="9" t="s">
        <v>21</v>
      </c>
      <c r="F112" s="17"/>
      <c r="G112" s="9" t="s">
        <v>21</v>
      </c>
      <c r="H112" s="17"/>
      <c r="I112" s="22"/>
      <c r="J112" s="28"/>
      <c r="K112" s="22"/>
    </row>
    <row r="113" spans="1:11" x14ac:dyDescent="0.25">
      <c r="A113" s="32"/>
      <c r="B113" s="21"/>
      <c r="C113" s="12" t="s">
        <v>22</v>
      </c>
      <c r="D113" s="17">
        <v>0</v>
      </c>
      <c r="E113" s="12" t="s">
        <v>22</v>
      </c>
      <c r="F113" s="17">
        <v>0</v>
      </c>
      <c r="G113" s="12" t="s">
        <v>22</v>
      </c>
      <c r="H113" s="17">
        <v>0</v>
      </c>
      <c r="I113" s="22"/>
      <c r="J113" s="28"/>
      <c r="K113" s="22"/>
    </row>
    <row r="114" spans="1:11" x14ac:dyDescent="0.25">
      <c r="A114" s="32"/>
      <c r="B114" s="21"/>
      <c r="C114" s="12" t="s">
        <v>23</v>
      </c>
      <c r="D114" s="17">
        <v>0</v>
      </c>
      <c r="E114" s="12" t="s">
        <v>23</v>
      </c>
      <c r="F114" s="17">
        <v>0</v>
      </c>
      <c r="G114" s="12" t="s">
        <v>23</v>
      </c>
      <c r="H114" s="17">
        <v>0</v>
      </c>
      <c r="I114" s="22"/>
      <c r="J114" s="28"/>
      <c r="K114" s="22"/>
    </row>
    <row r="115" spans="1:11" x14ac:dyDescent="0.25">
      <c r="A115" s="32"/>
      <c r="B115" s="21"/>
      <c r="C115" s="12" t="s">
        <v>24</v>
      </c>
      <c r="D115" s="17">
        <f>128442.53/1000</f>
        <v>128.44253</v>
      </c>
      <c r="E115" s="12" t="s">
        <v>24</v>
      </c>
      <c r="F115" s="17">
        <v>0</v>
      </c>
      <c r="G115" s="12" t="s">
        <v>24</v>
      </c>
      <c r="H115" s="17">
        <v>0</v>
      </c>
      <c r="I115" s="22"/>
      <c r="J115" s="28"/>
      <c r="K115" s="22"/>
    </row>
    <row r="116" spans="1:11" x14ac:dyDescent="0.25">
      <c r="A116" s="32"/>
      <c r="B116" s="21"/>
      <c r="C116" s="12" t="s">
        <v>25</v>
      </c>
      <c r="D116" s="17">
        <v>0</v>
      </c>
      <c r="E116" s="12" t="s">
        <v>25</v>
      </c>
      <c r="F116" s="17">
        <v>0</v>
      </c>
      <c r="G116" s="12" t="s">
        <v>25</v>
      </c>
      <c r="H116" s="17">
        <v>0</v>
      </c>
      <c r="I116" s="22"/>
      <c r="J116" s="28"/>
      <c r="K116" s="22"/>
    </row>
    <row r="117" spans="1:11" x14ac:dyDescent="0.25">
      <c r="A117" s="32" t="s">
        <v>64</v>
      </c>
      <c r="B117" s="21" t="s">
        <v>65</v>
      </c>
      <c r="C117" s="9" t="s">
        <v>28</v>
      </c>
      <c r="D117" s="17">
        <f>D119+D120+D121+D122</f>
        <v>518.18265999999994</v>
      </c>
      <c r="E117" s="9" t="s">
        <v>28</v>
      </c>
      <c r="F117" s="17">
        <f>F119+F120+F121+F122</f>
        <v>0</v>
      </c>
      <c r="G117" s="9" t="s">
        <v>28</v>
      </c>
      <c r="H117" s="17">
        <v>0</v>
      </c>
      <c r="I117" s="22" t="s">
        <v>18</v>
      </c>
      <c r="J117" s="28"/>
      <c r="K117" s="22" t="s">
        <v>30</v>
      </c>
    </row>
    <row r="118" spans="1:11" x14ac:dyDescent="0.25">
      <c r="A118" s="32"/>
      <c r="B118" s="21"/>
      <c r="C118" s="9" t="s">
        <v>21</v>
      </c>
      <c r="D118" s="17"/>
      <c r="E118" s="9" t="s">
        <v>21</v>
      </c>
      <c r="F118" s="17"/>
      <c r="G118" s="9" t="s">
        <v>21</v>
      </c>
      <c r="H118" s="17"/>
      <c r="I118" s="22"/>
      <c r="J118" s="28"/>
      <c r="K118" s="22"/>
    </row>
    <row r="119" spans="1:11" x14ac:dyDescent="0.25">
      <c r="A119" s="32"/>
      <c r="B119" s="21"/>
      <c r="C119" s="12" t="s">
        <v>22</v>
      </c>
      <c r="D119" s="17">
        <v>0</v>
      </c>
      <c r="E119" s="12" t="s">
        <v>22</v>
      </c>
      <c r="F119" s="17">
        <v>0</v>
      </c>
      <c r="G119" s="12" t="s">
        <v>22</v>
      </c>
      <c r="H119" s="17">
        <v>0</v>
      </c>
      <c r="I119" s="22"/>
      <c r="J119" s="28"/>
      <c r="K119" s="22"/>
    </row>
    <row r="120" spans="1:11" x14ac:dyDescent="0.25">
      <c r="A120" s="32"/>
      <c r="B120" s="21"/>
      <c r="C120" s="12" t="s">
        <v>23</v>
      </c>
      <c r="D120" s="17">
        <v>0</v>
      </c>
      <c r="E120" s="12" t="s">
        <v>23</v>
      </c>
      <c r="F120" s="17">
        <v>0</v>
      </c>
      <c r="G120" s="12" t="s">
        <v>23</v>
      </c>
      <c r="H120" s="17">
        <v>0</v>
      </c>
      <c r="I120" s="22"/>
      <c r="J120" s="28"/>
      <c r="K120" s="22"/>
    </row>
    <row r="121" spans="1:11" x14ac:dyDescent="0.25">
      <c r="A121" s="32"/>
      <c r="B121" s="21"/>
      <c r="C121" s="12" t="s">
        <v>24</v>
      </c>
      <c r="D121" s="17">
        <f>518182.66/1000</f>
        <v>518.18265999999994</v>
      </c>
      <c r="E121" s="12" t="s">
        <v>24</v>
      </c>
      <c r="F121" s="17">
        <v>0</v>
      </c>
      <c r="G121" s="12" t="s">
        <v>24</v>
      </c>
      <c r="H121" s="17">
        <v>0</v>
      </c>
      <c r="I121" s="22"/>
      <c r="J121" s="28"/>
      <c r="K121" s="22"/>
    </row>
    <row r="122" spans="1:11" x14ac:dyDescent="0.25">
      <c r="A122" s="32"/>
      <c r="B122" s="21"/>
      <c r="C122" s="12" t="s">
        <v>25</v>
      </c>
      <c r="D122" s="17">
        <v>0</v>
      </c>
      <c r="E122" s="12" t="s">
        <v>25</v>
      </c>
      <c r="F122" s="17">
        <v>0</v>
      </c>
      <c r="G122" s="12" t="s">
        <v>25</v>
      </c>
      <c r="H122" s="17">
        <v>0</v>
      </c>
      <c r="I122" s="22"/>
      <c r="J122" s="28"/>
      <c r="K122" s="22"/>
    </row>
    <row r="123" spans="1:11" x14ac:dyDescent="0.25">
      <c r="A123" s="32" t="s">
        <v>66</v>
      </c>
      <c r="B123" s="21" t="s">
        <v>67</v>
      </c>
      <c r="C123" s="9" t="s">
        <v>28</v>
      </c>
      <c r="D123" s="17">
        <f>D125+D126+D127+D128</f>
        <v>79.728080000000006</v>
      </c>
      <c r="E123" s="9" t="s">
        <v>28</v>
      </c>
      <c r="F123" s="17">
        <f>F125+F126+F127+F128</f>
        <v>0</v>
      </c>
      <c r="G123" s="9" t="s">
        <v>28</v>
      </c>
      <c r="H123" s="17">
        <v>0</v>
      </c>
      <c r="I123" s="22" t="s">
        <v>18</v>
      </c>
      <c r="J123" s="28"/>
      <c r="K123" s="22" t="s">
        <v>30</v>
      </c>
    </row>
    <row r="124" spans="1:11" x14ac:dyDescent="0.25">
      <c r="A124" s="32"/>
      <c r="B124" s="21"/>
      <c r="C124" s="9" t="s">
        <v>21</v>
      </c>
      <c r="D124" s="17"/>
      <c r="E124" s="9" t="s">
        <v>21</v>
      </c>
      <c r="F124" s="17"/>
      <c r="G124" s="9" t="s">
        <v>21</v>
      </c>
      <c r="H124" s="17"/>
      <c r="I124" s="22"/>
      <c r="J124" s="28"/>
      <c r="K124" s="22"/>
    </row>
    <row r="125" spans="1:11" x14ac:dyDescent="0.25">
      <c r="A125" s="32"/>
      <c r="B125" s="21"/>
      <c r="C125" s="12" t="s">
        <v>22</v>
      </c>
      <c r="D125" s="17">
        <v>0</v>
      </c>
      <c r="E125" s="12" t="s">
        <v>22</v>
      </c>
      <c r="F125" s="17">
        <v>0</v>
      </c>
      <c r="G125" s="12" t="s">
        <v>22</v>
      </c>
      <c r="H125" s="17">
        <v>0</v>
      </c>
      <c r="I125" s="22"/>
      <c r="J125" s="28"/>
      <c r="K125" s="22"/>
    </row>
    <row r="126" spans="1:11" x14ac:dyDescent="0.25">
      <c r="A126" s="32"/>
      <c r="B126" s="21"/>
      <c r="C126" s="12" t="s">
        <v>23</v>
      </c>
      <c r="D126" s="17">
        <v>0</v>
      </c>
      <c r="E126" s="12" t="s">
        <v>23</v>
      </c>
      <c r="F126" s="17">
        <v>0</v>
      </c>
      <c r="G126" s="12" t="s">
        <v>23</v>
      </c>
      <c r="H126" s="17">
        <v>0</v>
      </c>
      <c r="I126" s="22"/>
      <c r="J126" s="28"/>
      <c r="K126" s="22"/>
    </row>
    <row r="127" spans="1:11" x14ac:dyDescent="0.25">
      <c r="A127" s="32"/>
      <c r="B127" s="21"/>
      <c r="C127" s="12" t="s">
        <v>24</v>
      </c>
      <c r="D127" s="17">
        <f>79728.08/1000</f>
        <v>79.728080000000006</v>
      </c>
      <c r="E127" s="12" t="s">
        <v>24</v>
      </c>
      <c r="F127" s="17">
        <v>0</v>
      </c>
      <c r="G127" s="12" t="s">
        <v>24</v>
      </c>
      <c r="H127" s="17">
        <v>0</v>
      </c>
      <c r="I127" s="22"/>
      <c r="J127" s="28"/>
      <c r="K127" s="22"/>
    </row>
    <row r="128" spans="1:11" x14ac:dyDescent="0.25">
      <c r="A128" s="32"/>
      <c r="B128" s="21"/>
      <c r="C128" s="12" t="s">
        <v>25</v>
      </c>
      <c r="D128" s="17">
        <v>0</v>
      </c>
      <c r="E128" s="12" t="s">
        <v>25</v>
      </c>
      <c r="F128" s="17">
        <v>0</v>
      </c>
      <c r="G128" s="12" t="s">
        <v>25</v>
      </c>
      <c r="H128" s="17">
        <v>0</v>
      </c>
      <c r="I128" s="22"/>
      <c r="J128" s="28"/>
      <c r="K128" s="22"/>
    </row>
    <row r="129" spans="1:11" x14ac:dyDescent="0.25">
      <c r="A129" s="32" t="s">
        <v>68</v>
      </c>
      <c r="B129" s="21" t="s">
        <v>69</v>
      </c>
      <c r="C129" s="9" t="s">
        <v>28</v>
      </c>
      <c r="D129" s="17">
        <f>D131+D132+D133+D134</f>
        <v>45.042079999999999</v>
      </c>
      <c r="E129" s="9" t="s">
        <v>28</v>
      </c>
      <c r="F129" s="17">
        <f>F131+F132+F133+F134</f>
        <v>0</v>
      </c>
      <c r="G129" s="9" t="s">
        <v>28</v>
      </c>
      <c r="H129" s="17">
        <v>0</v>
      </c>
      <c r="I129" s="22" t="s">
        <v>18</v>
      </c>
      <c r="J129" s="28"/>
      <c r="K129" s="22" t="s">
        <v>30</v>
      </c>
    </row>
    <row r="130" spans="1:11" x14ac:dyDescent="0.25">
      <c r="A130" s="32"/>
      <c r="B130" s="21"/>
      <c r="C130" s="9" t="s">
        <v>21</v>
      </c>
      <c r="D130" s="17"/>
      <c r="E130" s="9" t="s">
        <v>21</v>
      </c>
      <c r="F130" s="17"/>
      <c r="G130" s="9" t="s">
        <v>21</v>
      </c>
      <c r="H130" s="17"/>
      <c r="I130" s="22"/>
      <c r="J130" s="28"/>
      <c r="K130" s="22"/>
    </row>
    <row r="131" spans="1:11" x14ac:dyDescent="0.25">
      <c r="A131" s="32"/>
      <c r="B131" s="21"/>
      <c r="C131" s="12" t="s">
        <v>22</v>
      </c>
      <c r="D131" s="17">
        <v>0</v>
      </c>
      <c r="E131" s="12" t="s">
        <v>22</v>
      </c>
      <c r="F131" s="17">
        <v>0</v>
      </c>
      <c r="G131" s="12" t="s">
        <v>22</v>
      </c>
      <c r="H131" s="17">
        <v>0</v>
      </c>
      <c r="I131" s="22"/>
      <c r="J131" s="28"/>
      <c r="K131" s="22"/>
    </row>
    <row r="132" spans="1:11" x14ac:dyDescent="0.25">
      <c r="A132" s="32"/>
      <c r="B132" s="21"/>
      <c r="C132" s="12" t="s">
        <v>23</v>
      </c>
      <c r="D132" s="17">
        <v>0</v>
      </c>
      <c r="E132" s="12" t="s">
        <v>23</v>
      </c>
      <c r="F132" s="17">
        <v>0</v>
      </c>
      <c r="G132" s="12" t="s">
        <v>23</v>
      </c>
      <c r="H132" s="17">
        <v>0</v>
      </c>
      <c r="I132" s="22"/>
      <c r="J132" s="28"/>
      <c r="K132" s="22"/>
    </row>
    <row r="133" spans="1:11" x14ac:dyDescent="0.25">
      <c r="A133" s="32"/>
      <c r="B133" s="21"/>
      <c r="C133" s="12" t="s">
        <v>24</v>
      </c>
      <c r="D133" s="17">
        <f>45042.08/1000</f>
        <v>45.042079999999999</v>
      </c>
      <c r="E133" s="12" t="s">
        <v>24</v>
      </c>
      <c r="F133" s="17">
        <v>0</v>
      </c>
      <c r="G133" s="12" t="s">
        <v>24</v>
      </c>
      <c r="H133" s="17">
        <v>0</v>
      </c>
      <c r="I133" s="22"/>
      <c r="J133" s="28"/>
      <c r="K133" s="22"/>
    </row>
    <row r="134" spans="1:11" x14ac:dyDescent="0.25">
      <c r="A134" s="32"/>
      <c r="B134" s="21"/>
      <c r="C134" s="12" t="s">
        <v>25</v>
      </c>
      <c r="D134" s="17">
        <v>0</v>
      </c>
      <c r="E134" s="12" t="s">
        <v>25</v>
      </c>
      <c r="F134" s="17">
        <v>0</v>
      </c>
      <c r="G134" s="12" t="s">
        <v>25</v>
      </c>
      <c r="H134" s="17">
        <v>0</v>
      </c>
      <c r="I134" s="22"/>
      <c r="J134" s="28"/>
      <c r="K134" s="22"/>
    </row>
    <row r="135" spans="1:11" x14ac:dyDescent="0.25">
      <c r="A135" s="32" t="s">
        <v>70</v>
      </c>
      <c r="B135" s="21" t="s">
        <v>71</v>
      </c>
      <c r="C135" s="9" t="s">
        <v>28</v>
      </c>
      <c r="D135" s="17">
        <f>D137+D138+D139+D140</f>
        <v>144.67834999999999</v>
      </c>
      <c r="E135" s="9" t="s">
        <v>28</v>
      </c>
      <c r="F135" s="17">
        <f>F137+F138+F139+F140</f>
        <v>0</v>
      </c>
      <c r="G135" s="9" t="s">
        <v>28</v>
      </c>
      <c r="H135" s="17">
        <v>0</v>
      </c>
      <c r="I135" s="22" t="s">
        <v>18</v>
      </c>
      <c r="J135" s="28"/>
      <c r="K135" s="22" t="s">
        <v>30</v>
      </c>
    </row>
    <row r="136" spans="1:11" x14ac:dyDescent="0.25">
      <c r="A136" s="32"/>
      <c r="B136" s="21"/>
      <c r="C136" s="9" t="s">
        <v>21</v>
      </c>
      <c r="D136" s="17"/>
      <c r="E136" s="9" t="s">
        <v>21</v>
      </c>
      <c r="F136" s="17"/>
      <c r="G136" s="9" t="s">
        <v>21</v>
      </c>
      <c r="H136" s="17"/>
      <c r="I136" s="22"/>
      <c r="J136" s="28"/>
      <c r="K136" s="22"/>
    </row>
    <row r="137" spans="1:11" x14ac:dyDescent="0.25">
      <c r="A137" s="32"/>
      <c r="B137" s="21"/>
      <c r="C137" s="12" t="s">
        <v>22</v>
      </c>
      <c r="D137" s="17">
        <v>0</v>
      </c>
      <c r="E137" s="12" t="s">
        <v>22</v>
      </c>
      <c r="F137" s="17">
        <v>0</v>
      </c>
      <c r="G137" s="12" t="s">
        <v>22</v>
      </c>
      <c r="H137" s="17">
        <v>0</v>
      </c>
      <c r="I137" s="22"/>
      <c r="J137" s="28"/>
      <c r="K137" s="22"/>
    </row>
    <row r="138" spans="1:11" x14ac:dyDescent="0.25">
      <c r="A138" s="32"/>
      <c r="B138" s="21"/>
      <c r="C138" s="12" t="s">
        <v>23</v>
      </c>
      <c r="D138" s="17">
        <v>0</v>
      </c>
      <c r="E138" s="12" t="s">
        <v>23</v>
      </c>
      <c r="F138" s="17">
        <v>0</v>
      </c>
      <c r="G138" s="12" t="s">
        <v>23</v>
      </c>
      <c r="H138" s="17">
        <v>0</v>
      </c>
      <c r="I138" s="22"/>
      <c r="J138" s="28"/>
      <c r="K138" s="22"/>
    </row>
    <row r="139" spans="1:11" x14ac:dyDescent="0.25">
      <c r="A139" s="32"/>
      <c r="B139" s="21"/>
      <c r="C139" s="12" t="s">
        <v>24</v>
      </c>
      <c r="D139" s="17">
        <f>144678.35/1000</f>
        <v>144.67834999999999</v>
      </c>
      <c r="E139" s="12" t="s">
        <v>24</v>
      </c>
      <c r="F139" s="17">
        <v>0</v>
      </c>
      <c r="G139" s="12" t="s">
        <v>24</v>
      </c>
      <c r="H139" s="17">
        <v>0</v>
      </c>
      <c r="I139" s="22"/>
      <c r="J139" s="28"/>
      <c r="K139" s="22"/>
    </row>
    <row r="140" spans="1:11" x14ac:dyDescent="0.25">
      <c r="A140" s="32"/>
      <c r="B140" s="21"/>
      <c r="C140" s="12" t="s">
        <v>25</v>
      </c>
      <c r="D140" s="17">
        <v>0</v>
      </c>
      <c r="E140" s="12" t="s">
        <v>25</v>
      </c>
      <c r="F140" s="17">
        <v>0</v>
      </c>
      <c r="G140" s="12" t="s">
        <v>25</v>
      </c>
      <c r="H140" s="17">
        <v>0</v>
      </c>
      <c r="I140" s="22"/>
      <c r="J140" s="28"/>
      <c r="K140" s="22"/>
    </row>
    <row r="141" spans="1:11" s="4" customFormat="1" x14ac:dyDescent="0.25">
      <c r="A141" s="32" t="s">
        <v>72</v>
      </c>
      <c r="B141" s="21" t="s">
        <v>73</v>
      </c>
      <c r="C141" s="9" t="s">
        <v>28</v>
      </c>
      <c r="D141" s="17">
        <f>D143+D144+D145+D146</f>
        <v>361.76931000000002</v>
      </c>
      <c r="E141" s="9" t="s">
        <v>28</v>
      </c>
      <c r="F141" s="17">
        <f>F143+F144+F145+F146</f>
        <v>0</v>
      </c>
      <c r="G141" s="9" t="s">
        <v>28</v>
      </c>
      <c r="H141" s="17">
        <v>0</v>
      </c>
      <c r="I141" s="22" t="s">
        <v>18</v>
      </c>
      <c r="J141" s="28"/>
      <c r="K141" s="22" t="s">
        <v>30</v>
      </c>
    </row>
    <row r="142" spans="1:11" s="4" customFormat="1" x14ac:dyDescent="0.25">
      <c r="A142" s="32"/>
      <c r="B142" s="21"/>
      <c r="C142" s="9" t="s">
        <v>21</v>
      </c>
      <c r="D142" s="17"/>
      <c r="E142" s="9" t="s">
        <v>21</v>
      </c>
      <c r="F142" s="17"/>
      <c r="G142" s="9" t="s">
        <v>21</v>
      </c>
      <c r="H142" s="17"/>
      <c r="I142" s="22"/>
      <c r="J142" s="28"/>
      <c r="K142" s="22"/>
    </row>
    <row r="143" spans="1:11" s="4" customFormat="1" x14ac:dyDescent="0.25">
      <c r="A143" s="32"/>
      <c r="B143" s="21"/>
      <c r="C143" s="12" t="s">
        <v>22</v>
      </c>
      <c r="D143" s="17">
        <v>0</v>
      </c>
      <c r="E143" s="12" t="s">
        <v>22</v>
      </c>
      <c r="F143" s="17">
        <v>0</v>
      </c>
      <c r="G143" s="12" t="s">
        <v>22</v>
      </c>
      <c r="H143" s="17">
        <v>0</v>
      </c>
      <c r="I143" s="22"/>
      <c r="J143" s="28"/>
      <c r="K143" s="22"/>
    </row>
    <row r="144" spans="1:11" s="4" customFormat="1" x14ac:dyDescent="0.25">
      <c r="A144" s="32"/>
      <c r="B144" s="21"/>
      <c r="C144" s="12" t="s">
        <v>23</v>
      </c>
      <c r="D144" s="17">
        <v>0</v>
      </c>
      <c r="E144" s="12" t="s">
        <v>23</v>
      </c>
      <c r="F144" s="17">
        <v>0</v>
      </c>
      <c r="G144" s="12" t="s">
        <v>23</v>
      </c>
      <c r="H144" s="17">
        <v>0</v>
      </c>
      <c r="I144" s="22"/>
      <c r="J144" s="28"/>
      <c r="K144" s="22"/>
    </row>
    <row r="145" spans="1:11" s="4" customFormat="1" x14ac:dyDescent="0.25">
      <c r="A145" s="32"/>
      <c r="B145" s="21"/>
      <c r="C145" s="12" t="s">
        <v>24</v>
      </c>
      <c r="D145" s="17">
        <f>361769.31/1000</f>
        <v>361.76931000000002</v>
      </c>
      <c r="E145" s="12" t="s">
        <v>24</v>
      </c>
      <c r="F145" s="17">
        <v>0</v>
      </c>
      <c r="G145" s="12" t="s">
        <v>24</v>
      </c>
      <c r="H145" s="17">
        <v>0</v>
      </c>
      <c r="I145" s="22"/>
      <c r="J145" s="28"/>
      <c r="K145" s="22"/>
    </row>
    <row r="146" spans="1:11" s="4" customFormat="1" x14ac:dyDescent="0.25">
      <c r="A146" s="32"/>
      <c r="B146" s="21"/>
      <c r="C146" s="12" t="s">
        <v>25</v>
      </c>
      <c r="D146" s="17">
        <v>0</v>
      </c>
      <c r="E146" s="12" t="s">
        <v>25</v>
      </c>
      <c r="F146" s="17">
        <v>0</v>
      </c>
      <c r="G146" s="12" t="s">
        <v>25</v>
      </c>
      <c r="H146" s="17">
        <v>0</v>
      </c>
      <c r="I146" s="22"/>
      <c r="J146" s="28"/>
      <c r="K146" s="22"/>
    </row>
    <row r="147" spans="1:11" s="4" customFormat="1" x14ac:dyDescent="0.25">
      <c r="A147" s="32" t="s">
        <v>74</v>
      </c>
      <c r="B147" s="21" t="s">
        <v>75</v>
      </c>
      <c r="C147" s="9" t="s">
        <v>28</v>
      </c>
      <c r="D147" s="17">
        <f>D149+D150+D151+D152</f>
        <v>374.83767999999998</v>
      </c>
      <c r="E147" s="9" t="s">
        <v>28</v>
      </c>
      <c r="F147" s="17">
        <f>F149+F150+F151+F152</f>
        <v>0</v>
      </c>
      <c r="G147" s="9" t="s">
        <v>28</v>
      </c>
      <c r="H147" s="17">
        <v>0</v>
      </c>
      <c r="I147" s="22" t="s">
        <v>18</v>
      </c>
      <c r="J147" s="28"/>
      <c r="K147" s="22" t="s">
        <v>30</v>
      </c>
    </row>
    <row r="148" spans="1:11" s="4" customFormat="1" x14ac:dyDescent="0.25">
      <c r="A148" s="32"/>
      <c r="B148" s="21"/>
      <c r="C148" s="9" t="s">
        <v>21</v>
      </c>
      <c r="D148" s="17"/>
      <c r="E148" s="9" t="s">
        <v>21</v>
      </c>
      <c r="F148" s="17"/>
      <c r="G148" s="9" t="s">
        <v>21</v>
      </c>
      <c r="H148" s="17"/>
      <c r="I148" s="22"/>
      <c r="J148" s="28"/>
      <c r="K148" s="22"/>
    </row>
    <row r="149" spans="1:11" s="4" customFormat="1" x14ac:dyDescent="0.25">
      <c r="A149" s="32"/>
      <c r="B149" s="21"/>
      <c r="C149" s="12" t="s">
        <v>22</v>
      </c>
      <c r="D149" s="17">
        <v>0</v>
      </c>
      <c r="E149" s="12" t="s">
        <v>22</v>
      </c>
      <c r="F149" s="17">
        <v>0</v>
      </c>
      <c r="G149" s="12" t="s">
        <v>22</v>
      </c>
      <c r="H149" s="17">
        <v>0</v>
      </c>
      <c r="I149" s="22"/>
      <c r="J149" s="28"/>
      <c r="K149" s="22"/>
    </row>
    <row r="150" spans="1:11" s="4" customFormat="1" x14ac:dyDescent="0.25">
      <c r="A150" s="32"/>
      <c r="B150" s="21"/>
      <c r="C150" s="12" t="s">
        <v>23</v>
      </c>
      <c r="D150" s="17">
        <v>0</v>
      </c>
      <c r="E150" s="12" t="s">
        <v>23</v>
      </c>
      <c r="F150" s="17">
        <v>0</v>
      </c>
      <c r="G150" s="12" t="s">
        <v>23</v>
      </c>
      <c r="H150" s="17">
        <v>0</v>
      </c>
      <c r="I150" s="22"/>
      <c r="J150" s="28"/>
      <c r="K150" s="22"/>
    </row>
    <row r="151" spans="1:11" s="4" customFormat="1" x14ac:dyDescent="0.25">
      <c r="A151" s="32"/>
      <c r="B151" s="21"/>
      <c r="C151" s="12" t="s">
        <v>24</v>
      </c>
      <c r="D151" s="17">
        <f>374837.68/1000</f>
        <v>374.83767999999998</v>
      </c>
      <c r="E151" s="12" t="s">
        <v>24</v>
      </c>
      <c r="F151" s="17">
        <v>0</v>
      </c>
      <c r="G151" s="12" t="s">
        <v>24</v>
      </c>
      <c r="H151" s="17">
        <v>0</v>
      </c>
      <c r="I151" s="22"/>
      <c r="J151" s="28"/>
      <c r="K151" s="22"/>
    </row>
    <row r="152" spans="1:11" s="4" customFormat="1" x14ac:dyDescent="0.25">
      <c r="A152" s="32"/>
      <c r="B152" s="21"/>
      <c r="C152" s="12" t="s">
        <v>25</v>
      </c>
      <c r="D152" s="17">
        <v>0</v>
      </c>
      <c r="E152" s="12" t="s">
        <v>25</v>
      </c>
      <c r="F152" s="17">
        <v>0</v>
      </c>
      <c r="G152" s="12" t="s">
        <v>25</v>
      </c>
      <c r="H152" s="17">
        <v>0</v>
      </c>
      <c r="I152" s="22"/>
      <c r="J152" s="28"/>
      <c r="K152" s="22"/>
    </row>
    <row r="153" spans="1:11" s="4" customFormat="1" x14ac:dyDescent="0.25">
      <c r="A153" s="32" t="s">
        <v>76</v>
      </c>
      <c r="B153" s="21" t="s">
        <v>77</v>
      </c>
      <c r="C153" s="9" t="s">
        <v>28</v>
      </c>
      <c r="D153" s="17">
        <f>D155+D156+D157+D158</f>
        <v>355.41790999999995</v>
      </c>
      <c r="E153" s="9" t="s">
        <v>28</v>
      </c>
      <c r="F153" s="17">
        <f>F155+F156+F157+F158</f>
        <v>0</v>
      </c>
      <c r="G153" s="9" t="s">
        <v>28</v>
      </c>
      <c r="H153" s="17">
        <v>0</v>
      </c>
      <c r="I153" s="22" t="s">
        <v>18</v>
      </c>
      <c r="J153" s="28"/>
      <c r="K153" s="22" t="s">
        <v>30</v>
      </c>
    </row>
    <row r="154" spans="1:11" s="4" customFormat="1" x14ac:dyDescent="0.25">
      <c r="A154" s="32"/>
      <c r="B154" s="21"/>
      <c r="C154" s="9" t="s">
        <v>21</v>
      </c>
      <c r="D154" s="17"/>
      <c r="E154" s="9" t="s">
        <v>21</v>
      </c>
      <c r="F154" s="17"/>
      <c r="G154" s="9" t="s">
        <v>21</v>
      </c>
      <c r="H154" s="17"/>
      <c r="I154" s="22"/>
      <c r="J154" s="28"/>
      <c r="K154" s="22"/>
    </row>
    <row r="155" spans="1:11" s="4" customFormat="1" x14ac:dyDescent="0.25">
      <c r="A155" s="32"/>
      <c r="B155" s="21"/>
      <c r="C155" s="12" t="s">
        <v>22</v>
      </c>
      <c r="D155" s="17">
        <v>0</v>
      </c>
      <c r="E155" s="12" t="s">
        <v>22</v>
      </c>
      <c r="F155" s="17">
        <v>0</v>
      </c>
      <c r="G155" s="12" t="s">
        <v>22</v>
      </c>
      <c r="H155" s="17">
        <v>0</v>
      </c>
      <c r="I155" s="22"/>
      <c r="J155" s="28"/>
      <c r="K155" s="22"/>
    </row>
    <row r="156" spans="1:11" s="4" customFormat="1" x14ac:dyDescent="0.25">
      <c r="A156" s="32"/>
      <c r="B156" s="21"/>
      <c r="C156" s="12" t="s">
        <v>23</v>
      </c>
      <c r="D156" s="17">
        <v>0</v>
      </c>
      <c r="E156" s="12" t="s">
        <v>23</v>
      </c>
      <c r="F156" s="17">
        <v>0</v>
      </c>
      <c r="G156" s="12" t="s">
        <v>23</v>
      </c>
      <c r="H156" s="17">
        <v>0</v>
      </c>
      <c r="I156" s="22"/>
      <c r="J156" s="28"/>
      <c r="K156" s="22"/>
    </row>
    <row r="157" spans="1:11" s="4" customFormat="1" x14ac:dyDescent="0.25">
      <c r="A157" s="32"/>
      <c r="B157" s="21"/>
      <c r="C157" s="12" t="s">
        <v>24</v>
      </c>
      <c r="D157" s="17">
        <f>355417.91/1000</f>
        <v>355.41790999999995</v>
      </c>
      <c r="E157" s="12" t="s">
        <v>24</v>
      </c>
      <c r="F157" s="17">
        <v>0</v>
      </c>
      <c r="G157" s="12" t="s">
        <v>24</v>
      </c>
      <c r="H157" s="17">
        <v>0</v>
      </c>
      <c r="I157" s="22"/>
      <c r="J157" s="28"/>
      <c r="K157" s="22"/>
    </row>
    <row r="158" spans="1:11" s="4" customFormat="1" x14ac:dyDescent="0.25">
      <c r="A158" s="32"/>
      <c r="B158" s="21"/>
      <c r="C158" s="12" t="s">
        <v>25</v>
      </c>
      <c r="D158" s="17">
        <v>0</v>
      </c>
      <c r="E158" s="12" t="s">
        <v>25</v>
      </c>
      <c r="F158" s="17">
        <v>0</v>
      </c>
      <c r="G158" s="12" t="s">
        <v>25</v>
      </c>
      <c r="H158" s="17">
        <v>0</v>
      </c>
      <c r="I158" s="22"/>
      <c r="J158" s="28"/>
      <c r="K158" s="22"/>
    </row>
    <row r="159" spans="1:11" s="4" customFormat="1" x14ac:dyDescent="0.25">
      <c r="A159" s="32" t="s">
        <v>78</v>
      </c>
      <c r="B159" s="21" t="s">
        <v>79</v>
      </c>
      <c r="C159" s="9" t="s">
        <v>28</v>
      </c>
      <c r="D159" s="17">
        <f>D161+D162+D163+D164</f>
        <v>134.01067</v>
      </c>
      <c r="E159" s="9" t="s">
        <v>28</v>
      </c>
      <c r="F159" s="17">
        <f>F161+F162+F163+F164</f>
        <v>0</v>
      </c>
      <c r="G159" s="9" t="s">
        <v>28</v>
      </c>
      <c r="H159" s="17">
        <v>0</v>
      </c>
      <c r="I159" s="22" t="s">
        <v>18</v>
      </c>
      <c r="J159" s="28"/>
      <c r="K159" s="22" t="s">
        <v>30</v>
      </c>
    </row>
    <row r="160" spans="1:11" s="4" customFormat="1" x14ac:dyDescent="0.25">
      <c r="A160" s="32"/>
      <c r="B160" s="21"/>
      <c r="C160" s="9" t="s">
        <v>21</v>
      </c>
      <c r="D160" s="17"/>
      <c r="E160" s="9" t="s">
        <v>21</v>
      </c>
      <c r="F160" s="17"/>
      <c r="G160" s="9" t="s">
        <v>21</v>
      </c>
      <c r="H160" s="17"/>
      <c r="I160" s="22"/>
      <c r="J160" s="28"/>
      <c r="K160" s="22"/>
    </row>
    <row r="161" spans="1:11" s="4" customFormat="1" x14ac:dyDescent="0.25">
      <c r="A161" s="32"/>
      <c r="B161" s="21"/>
      <c r="C161" s="12" t="s">
        <v>22</v>
      </c>
      <c r="D161" s="17">
        <v>0</v>
      </c>
      <c r="E161" s="12" t="s">
        <v>22</v>
      </c>
      <c r="F161" s="17">
        <v>0</v>
      </c>
      <c r="G161" s="12" t="s">
        <v>22</v>
      </c>
      <c r="H161" s="17">
        <v>0</v>
      </c>
      <c r="I161" s="22"/>
      <c r="J161" s="28"/>
      <c r="K161" s="22"/>
    </row>
    <row r="162" spans="1:11" s="4" customFormat="1" x14ac:dyDescent="0.25">
      <c r="A162" s="32"/>
      <c r="B162" s="21"/>
      <c r="C162" s="12" t="s">
        <v>23</v>
      </c>
      <c r="D162" s="17">
        <v>0</v>
      </c>
      <c r="E162" s="12" t="s">
        <v>23</v>
      </c>
      <c r="F162" s="17">
        <v>0</v>
      </c>
      <c r="G162" s="12" t="s">
        <v>23</v>
      </c>
      <c r="H162" s="17">
        <v>0</v>
      </c>
      <c r="I162" s="22"/>
      <c r="J162" s="28"/>
      <c r="K162" s="22"/>
    </row>
    <row r="163" spans="1:11" s="4" customFormat="1" x14ac:dyDescent="0.25">
      <c r="A163" s="32"/>
      <c r="B163" s="21"/>
      <c r="C163" s="12" t="s">
        <v>24</v>
      </c>
      <c r="D163" s="17">
        <f>134010.67/1000</f>
        <v>134.01067</v>
      </c>
      <c r="E163" s="12" t="s">
        <v>24</v>
      </c>
      <c r="F163" s="17">
        <v>0</v>
      </c>
      <c r="G163" s="12" t="s">
        <v>24</v>
      </c>
      <c r="H163" s="17">
        <v>0</v>
      </c>
      <c r="I163" s="22"/>
      <c r="J163" s="28"/>
      <c r="K163" s="22"/>
    </row>
    <row r="164" spans="1:11" s="4" customFormat="1" x14ac:dyDescent="0.25">
      <c r="A164" s="32"/>
      <c r="B164" s="21"/>
      <c r="C164" s="12" t="s">
        <v>25</v>
      </c>
      <c r="D164" s="17">
        <v>0</v>
      </c>
      <c r="E164" s="12" t="s">
        <v>25</v>
      </c>
      <c r="F164" s="17">
        <v>0</v>
      </c>
      <c r="G164" s="12" t="s">
        <v>25</v>
      </c>
      <c r="H164" s="17">
        <v>0</v>
      </c>
      <c r="I164" s="22"/>
      <c r="J164" s="28"/>
      <c r="K164" s="22"/>
    </row>
    <row r="165" spans="1:11" s="4" customFormat="1" x14ac:dyDescent="0.25">
      <c r="A165" s="32" t="s">
        <v>80</v>
      </c>
      <c r="B165" s="21" t="s">
        <v>81</v>
      </c>
      <c r="C165" s="9" t="s">
        <v>28</v>
      </c>
      <c r="D165" s="17">
        <f>D167+D168+D169+D170</f>
        <v>252.14949999999999</v>
      </c>
      <c r="E165" s="9" t="s">
        <v>28</v>
      </c>
      <c r="F165" s="17">
        <f>F167+F168+F169+F170</f>
        <v>0</v>
      </c>
      <c r="G165" s="9" t="s">
        <v>28</v>
      </c>
      <c r="H165" s="17">
        <v>0</v>
      </c>
      <c r="I165" s="22" t="s">
        <v>18</v>
      </c>
      <c r="J165" s="28"/>
      <c r="K165" s="22" t="s">
        <v>30</v>
      </c>
    </row>
    <row r="166" spans="1:11" s="4" customFormat="1" x14ac:dyDescent="0.25">
      <c r="A166" s="32"/>
      <c r="B166" s="21"/>
      <c r="C166" s="9" t="s">
        <v>21</v>
      </c>
      <c r="D166" s="17"/>
      <c r="E166" s="9" t="s">
        <v>21</v>
      </c>
      <c r="F166" s="17"/>
      <c r="G166" s="9" t="s">
        <v>21</v>
      </c>
      <c r="H166" s="17"/>
      <c r="I166" s="22"/>
      <c r="J166" s="28"/>
      <c r="K166" s="22"/>
    </row>
    <row r="167" spans="1:11" s="4" customFormat="1" x14ac:dyDescent="0.25">
      <c r="A167" s="32"/>
      <c r="B167" s="21"/>
      <c r="C167" s="12" t="s">
        <v>22</v>
      </c>
      <c r="D167" s="17">
        <v>0</v>
      </c>
      <c r="E167" s="12" t="s">
        <v>22</v>
      </c>
      <c r="F167" s="17">
        <v>0</v>
      </c>
      <c r="G167" s="12" t="s">
        <v>22</v>
      </c>
      <c r="H167" s="17">
        <v>0</v>
      </c>
      <c r="I167" s="22"/>
      <c r="J167" s="28"/>
      <c r="K167" s="22"/>
    </row>
    <row r="168" spans="1:11" s="4" customFormat="1" x14ac:dyDescent="0.25">
      <c r="A168" s="32"/>
      <c r="B168" s="21"/>
      <c r="C168" s="12" t="s">
        <v>23</v>
      </c>
      <c r="D168" s="17">
        <v>0</v>
      </c>
      <c r="E168" s="12" t="s">
        <v>23</v>
      </c>
      <c r="F168" s="17">
        <v>0</v>
      </c>
      <c r="G168" s="12" t="s">
        <v>23</v>
      </c>
      <c r="H168" s="17">
        <v>0</v>
      </c>
      <c r="I168" s="22"/>
      <c r="J168" s="28"/>
      <c r="K168" s="22"/>
    </row>
    <row r="169" spans="1:11" s="4" customFormat="1" x14ac:dyDescent="0.25">
      <c r="A169" s="32"/>
      <c r="B169" s="21"/>
      <c r="C169" s="12" t="s">
        <v>24</v>
      </c>
      <c r="D169" s="17">
        <f>252149.5/1000</f>
        <v>252.14949999999999</v>
      </c>
      <c r="E169" s="12" t="s">
        <v>24</v>
      </c>
      <c r="F169" s="17">
        <v>0</v>
      </c>
      <c r="G169" s="12" t="s">
        <v>24</v>
      </c>
      <c r="H169" s="17">
        <v>0</v>
      </c>
      <c r="I169" s="22"/>
      <c r="J169" s="28"/>
      <c r="K169" s="22"/>
    </row>
    <row r="170" spans="1:11" s="4" customFormat="1" x14ac:dyDescent="0.25">
      <c r="A170" s="32"/>
      <c r="B170" s="21"/>
      <c r="C170" s="12" t="s">
        <v>25</v>
      </c>
      <c r="D170" s="17">
        <v>0</v>
      </c>
      <c r="E170" s="12" t="s">
        <v>25</v>
      </c>
      <c r="F170" s="17">
        <v>0</v>
      </c>
      <c r="G170" s="12" t="s">
        <v>25</v>
      </c>
      <c r="H170" s="17">
        <v>0</v>
      </c>
      <c r="I170" s="22"/>
      <c r="J170" s="28"/>
      <c r="K170" s="22"/>
    </row>
    <row r="171" spans="1:11" s="4" customFormat="1" x14ac:dyDescent="0.25">
      <c r="A171" s="32" t="s">
        <v>82</v>
      </c>
      <c r="B171" s="21" t="s">
        <v>83</v>
      </c>
      <c r="C171" s="9" t="s">
        <v>28</v>
      </c>
      <c r="D171" s="17">
        <f>D173+D174+D175+D176</f>
        <v>328.97568000000001</v>
      </c>
      <c r="E171" s="9" t="s">
        <v>28</v>
      </c>
      <c r="F171" s="17">
        <f>F173+F174+F175+F176</f>
        <v>0</v>
      </c>
      <c r="G171" s="9" t="s">
        <v>28</v>
      </c>
      <c r="H171" s="17">
        <v>0</v>
      </c>
      <c r="I171" s="22" t="s">
        <v>18</v>
      </c>
      <c r="J171" s="28"/>
      <c r="K171" s="22" t="s">
        <v>30</v>
      </c>
    </row>
    <row r="172" spans="1:11" s="4" customFormat="1" x14ac:dyDescent="0.25">
      <c r="A172" s="32"/>
      <c r="B172" s="21"/>
      <c r="C172" s="9" t="s">
        <v>21</v>
      </c>
      <c r="D172" s="17"/>
      <c r="E172" s="9" t="s">
        <v>21</v>
      </c>
      <c r="F172" s="17"/>
      <c r="G172" s="9" t="s">
        <v>21</v>
      </c>
      <c r="H172" s="17"/>
      <c r="I172" s="22"/>
      <c r="J172" s="28"/>
      <c r="K172" s="22"/>
    </row>
    <row r="173" spans="1:11" s="4" customFormat="1" x14ac:dyDescent="0.25">
      <c r="A173" s="32"/>
      <c r="B173" s="21"/>
      <c r="C173" s="12" t="s">
        <v>22</v>
      </c>
      <c r="D173" s="17">
        <v>0</v>
      </c>
      <c r="E173" s="12" t="s">
        <v>22</v>
      </c>
      <c r="F173" s="17">
        <v>0</v>
      </c>
      <c r="G173" s="12" t="s">
        <v>22</v>
      </c>
      <c r="H173" s="17">
        <v>0</v>
      </c>
      <c r="I173" s="22"/>
      <c r="J173" s="28"/>
      <c r="K173" s="22"/>
    </row>
    <row r="174" spans="1:11" s="4" customFormat="1" x14ac:dyDescent="0.25">
      <c r="A174" s="32"/>
      <c r="B174" s="21"/>
      <c r="C174" s="12" t="s">
        <v>23</v>
      </c>
      <c r="D174" s="17">
        <v>0</v>
      </c>
      <c r="E174" s="12" t="s">
        <v>23</v>
      </c>
      <c r="F174" s="17">
        <v>0</v>
      </c>
      <c r="G174" s="12" t="s">
        <v>23</v>
      </c>
      <c r="H174" s="17">
        <v>0</v>
      </c>
      <c r="I174" s="22"/>
      <c r="J174" s="28"/>
      <c r="K174" s="22"/>
    </row>
    <row r="175" spans="1:11" s="4" customFormat="1" x14ac:dyDescent="0.25">
      <c r="A175" s="32"/>
      <c r="B175" s="21"/>
      <c r="C175" s="12" t="s">
        <v>24</v>
      </c>
      <c r="D175" s="17">
        <f>328975.68/1000</f>
        <v>328.97568000000001</v>
      </c>
      <c r="E175" s="12" t="s">
        <v>24</v>
      </c>
      <c r="F175" s="17">
        <v>0</v>
      </c>
      <c r="G175" s="12" t="s">
        <v>24</v>
      </c>
      <c r="H175" s="17">
        <v>0</v>
      </c>
      <c r="I175" s="22"/>
      <c r="J175" s="28"/>
      <c r="K175" s="22"/>
    </row>
    <row r="176" spans="1:11" s="4" customFormat="1" x14ac:dyDescent="0.25">
      <c r="A176" s="32"/>
      <c r="B176" s="21"/>
      <c r="C176" s="12" t="s">
        <v>25</v>
      </c>
      <c r="D176" s="17">
        <v>0</v>
      </c>
      <c r="E176" s="12" t="s">
        <v>25</v>
      </c>
      <c r="F176" s="17">
        <v>0</v>
      </c>
      <c r="G176" s="12" t="s">
        <v>25</v>
      </c>
      <c r="H176" s="17">
        <v>0</v>
      </c>
      <c r="I176" s="22"/>
      <c r="J176" s="28"/>
      <c r="K176" s="22"/>
    </row>
    <row r="177" spans="1:11" s="4" customFormat="1" x14ac:dyDescent="0.25">
      <c r="A177" s="32" t="s">
        <v>84</v>
      </c>
      <c r="B177" s="21" t="s">
        <v>85</v>
      </c>
      <c r="C177" s="9" t="s">
        <v>28</v>
      </c>
      <c r="D177" s="17">
        <f>D179+D180+D181+D182</f>
        <v>567.80038999999999</v>
      </c>
      <c r="E177" s="9" t="s">
        <v>28</v>
      </c>
      <c r="F177" s="17">
        <f>F179+F180+F181+F182</f>
        <v>0</v>
      </c>
      <c r="G177" s="9" t="s">
        <v>28</v>
      </c>
      <c r="H177" s="17">
        <v>0</v>
      </c>
      <c r="I177" s="22" t="s">
        <v>18</v>
      </c>
      <c r="J177" s="28"/>
      <c r="K177" s="22" t="s">
        <v>30</v>
      </c>
    </row>
    <row r="178" spans="1:11" s="4" customFormat="1" x14ac:dyDescent="0.25">
      <c r="A178" s="32"/>
      <c r="B178" s="21"/>
      <c r="C178" s="9" t="s">
        <v>21</v>
      </c>
      <c r="D178" s="17"/>
      <c r="E178" s="9" t="s">
        <v>21</v>
      </c>
      <c r="F178" s="17"/>
      <c r="G178" s="9" t="s">
        <v>21</v>
      </c>
      <c r="H178" s="17"/>
      <c r="I178" s="22"/>
      <c r="J178" s="28"/>
      <c r="K178" s="22"/>
    </row>
    <row r="179" spans="1:11" s="4" customFormat="1" x14ac:dyDescent="0.25">
      <c r="A179" s="32"/>
      <c r="B179" s="21"/>
      <c r="C179" s="12" t="s">
        <v>22</v>
      </c>
      <c r="D179" s="17">
        <v>0</v>
      </c>
      <c r="E179" s="12" t="s">
        <v>22</v>
      </c>
      <c r="F179" s="17">
        <v>0</v>
      </c>
      <c r="G179" s="12" t="s">
        <v>22</v>
      </c>
      <c r="H179" s="17">
        <v>0</v>
      </c>
      <c r="I179" s="22"/>
      <c r="J179" s="28"/>
      <c r="K179" s="22"/>
    </row>
    <row r="180" spans="1:11" s="4" customFormat="1" x14ac:dyDescent="0.25">
      <c r="A180" s="32"/>
      <c r="B180" s="21"/>
      <c r="C180" s="12" t="s">
        <v>23</v>
      </c>
      <c r="D180" s="17">
        <v>0</v>
      </c>
      <c r="E180" s="12" t="s">
        <v>23</v>
      </c>
      <c r="F180" s="17">
        <v>0</v>
      </c>
      <c r="G180" s="12" t="s">
        <v>23</v>
      </c>
      <c r="H180" s="17">
        <v>0</v>
      </c>
      <c r="I180" s="22"/>
      <c r="J180" s="28"/>
      <c r="K180" s="22"/>
    </row>
    <row r="181" spans="1:11" s="4" customFormat="1" x14ac:dyDescent="0.25">
      <c r="A181" s="32"/>
      <c r="B181" s="21"/>
      <c r="C181" s="12" t="s">
        <v>24</v>
      </c>
      <c r="D181" s="17">
        <f>567800.39/1000</f>
        <v>567.80038999999999</v>
      </c>
      <c r="E181" s="12" t="s">
        <v>24</v>
      </c>
      <c r="F181" s="17">
        <v>0</v>
      </c>
      <c r="G181" s="12" t="s">
        <v>24</v>
      </c>
      <c r="H181" s="17">
        <v>0</v>
      </c>
      <c r="I181" s="22"/>
      <c r="J181" s="28"/>
      <c r="K181" s="22"/>
    </row>
    <row r="182" spans="1:11" s="4" customFormat="1" x14ac:dyDescent="0.25">
      <c r="A182" s="32"/>
      <c r="B182" s="21"/>
      <c r="C182" s="12" t="s">
        <v>25</v>
      </c>
      <c r="D182" s="17">
        <v>0</v>
      </c>
      <c r="E182" s="12" t="s">
        <v>25</v>
      </c>
      <c r="F182" s="17">
        <v>0</v>
      </c>
      <c r="G182" s="12" t="s">
        <v>25</v>
      </c>
      <c r="H182" s="17">
        <v>0</v>
      </c>
      <c r="I182" s="22"/>
      <c r="J182" s="28"/>
      <c r="K182" s="22"/>
    </row>
    <row r="183" spans="1:11" s="4" customFormat="1" x14ac:dyDescent="0.25">
      <c r="A183" s="32" t="s">
        <v>86</v>
      </c>
      <c r="B183" s="21" t="s">
        <v>87</v>
      </c>
      <c r="C183" s="9" t="s">
        <v>28</v>
      </c>
      <c r="D183" s="17">
        <f>D185+D186+D187+D188</f>
        <v>322.07265999999998</v>
      </c>
      <c r="E183" s="9" t="s">
        <v>28</v>
      </c>
      <c r="F183" s="17">
        <f>F185+F186+F187+F188</f>
        <v>0</v>
      </c>
      <c r="G183" s="9" t="s">
        <v>28</v>
      </c>
      <c r="H183" s="17">
        <v>0</v>
      </c>
      <c r="I183" s="22" t="s">
        <v>18</v>
      </c>
      <c r="J183" s="28"/>
      <c r="K183" s="22" t="s">
        <v>30</v>
      </c>
    </row>
    <row r="184" spans="1:11" s="4" customFormat="1" x14ac:dyDescent="0.25">
      <c r="A184" s="32"/>
      <c r="B184" s="21"/>
      <c r="C184" s="9" t="s">
        <v>21</v>
      </c>
      <c r="D184" s="17"/>
      <c r="E184" s="9" t="s">
        <v>21</v>
      </c>
      <c r="F184" s="17"/>
      <c r="G184" s="9" t="s">
        <v>21</v>
      </c>
      <c r="H184" s="17"/>
      <c r="I184" s="22"/>
      <c r="J184" s="28"/>
      <c r="K184" s="22"/>
    </row>
    <row r="185" spans="1:11" s="4" customFormat="1" x14ac:dyDescent="0.25">
      <c r="A185" s="32"/>
      <c r="B185" s="21"/>
      <c r="C185" s="12" t="s">
        <v>22</v>
      </c>
      <c r="D185" s="17">
        <v>0</v>
      </c>
      <c r="E185" s="12" t="s">
        <v>22</v>
      </c>
      <c r="F185" s="17">
        <v>0</v>
      </c>
      <c r="G185" s="12" t="s">
        <v>22</v>
      </c>
      <c r="H185" s="17">
        <v>0</v>
      </c>
      <c r="I185" s="22"/>
      <c r="J185" s="28"/>
      <c r="K185" s="22"/>
    </row>
    <row r="186" spans="1:11" s="4" customFormat="1" x14ac:dyDescent="0.25">
      <c r="A186" s="32"/>
      <c r="B186" s="21"/>
      <c r="C186" s="12" t="s">
        <v>23</v>
      </c>
      <c r="D186" s="17">
        <v>0</v>
      </c>
      <c r="E186" s="12" t="s">
        <v>23</v>
      </c>
      <c r="F186" s="17">
        <v>0</v>
      </c>
      <c r="G186" s="12" t="s">
        <v>23</v>
      </c>
      <c r="H186" s="17">
        <v>0</v>
      </c>
      <c r="I186" s="22"/>
      <c r="J186" s="28"/>
      <c r="K186" s="22"/>
    </row>
    <row r="187" spans="1:11" s="4" customFormat="1" x14ac:dyDescent="0.25">
      <c r="A187" s="32"/>
      <c r="B187" s="21"/>
      <c r="C187" s="12" t="s">
        <v>24</v>
      </c>
      <c r="D187" s="17">
        <f>322072.66/1000</f>
        <v>322.07265999999998</v>
      </c>
      <c r="E187" s="12" t="s">
        <v>24</v>
      </c>
      <c r="F187" s="17">
        <v>0</v>
      </c>
      <c r="G187" s="12" t="s">
        <v>24</v>
      </c>
      <c r="H187" s="17">
        <v>0</v>
      </c>
      <c r="I187" s="22"/>
      <c r="J187" s="28"/>
      <c r="K187" s="22"/>
    </row>
    <row r="188" spans="1:11" s="4" customFormat="1" x14ac:dyDescent="0.25">
      <c r="A188" s="32"/>
      <c r="B188" s="21"/>
      <c r="C188" s="12" t="s">
        <v>25</v>
      </c>
      <c r="D188" s="17">
        <v>0</v>
      </c>
      <c r="E188" s="12" t="s">
        <v>25</v>
      </c>
      <c r="F188" s="17">
        <v>0</v>
      </c>
      <c r="G188" s="12" t="s">
        <v>25</v>
      </c>
      <c r="H188" s="17">
        <v>0</v>
      </c>
      <c r="I188" s="22"/>
      <c r="J188" s="28"/>
      <c r="K188" s="22"/>
    </row>
    <row r="189" spans="1:11" s="4" customFormat="1" x14ac:dyDescent="0.25">
      <c r="A189" s="32" t="s">
        <v>88</v>
      </c>
      <c r="B189" s="21" t="s">
        <v>89</v>
      </c>
      <c r="C189" s="9" t="s">
        <v>28</v>
      </c>
      <c r="D189" s="17">
        <f>D191+D192+D193+D194</f>
        <v>193.13224</v>
      </c>
      <c r="E189" s="9" t="s">
        <v>28</v>
      </c>
      <c r="F189" s="17">
        <f>F191+F192+F193+F194</f>
        <v>0</v>
      </c>
      <c r="G189" s="9" t="s">
        <v>28</v>
      </c>
      <c r="H189" s="17">
        <v>0</v>
      </c>
      <c r="I189" s="22" t="s">
        <v>18</v>
      </c>
      <c r="J189" s="28"/>
      <c r="K189" s="22" t="s">
        <v>30</v>
      </c>
    </row>
    <row r="190" spans="1:11" s="4" customFormat="1" x14ac:dyDescent="0.25">
      <c r="A190" s="32"/>
      <c r="B190" s="21"/>
      <c r="C190" s="9" t="s">
        <v>21</v>
      </c>
      <c r="D190" s="17"/>
      <c r="E190" s="9" t="s">
        <v>21</v>
      </c>
      <c r="F190" s="17"/>
      <c r="G190" s="9" t="s">
        <v>21</v>
      </c>
      <c r="H190" s="17"/>
      <c r="I190" s="22"/>
      <c r="J190" s="28"/>
      <c r="K190" s="22"/>
    </row>
    <row r="191" spans="1:11" s="4" customFormat="1" x14ac:dyDescent="0.25">
      <c r="A191" s="32"/>
      <c r="B191" s="21"/>
      <c r="C191" s="12" t="s">
        <v>22</v>
      </c>
      <c r="D191" s="17">
        <v>0</v>
      </c>
      <c r="E191" s="12" t="s">
        <v>22</v>
      </c>
      <c r="F191" s="17">
        <v>0</v>
      </c>
      <c r="G191" s="12" t="s">
        <v>22</v>
      </c>
      <c r="H191" s="17">
        <v>0</v>
      </c>
      <c r="I191" s="22"/>
      <c r="J191" s="28"/>
      <c r="K191" s="22"/>
    </row>
    <row r="192" spans="1:11" s="4" customFormat="1" x14ac:dyDescent="0.25">
      <c r="A192" s="32"/>
      <c r="B192" s="21"/>
      <c r="C192" s="12" t="s">
        <v>23</v>
      </c>
      <c r="D192" s="17">
        <v>0</v>
      </c>
      <c r="E192" s="12" t="s">
        <v>23</v>
      </c>
      <c r="F192" s="17">
        <v>0</v>
      </c>
      <c r="G192" s="12" t="s">
        <v>23</v>
      </c>
      <c r="H192" s="17">
        <v>0</v>
      </c>
      <c r="I192" s="22"/>
      <c r="J192" s="28"/>
      <c r="K192" s="22"/>
    </row>
    <row r="193" spans="1:11" s="4" customFormat="1" x14ac:dyDescent="0.25">
      <c r="A193" s="32"/>
      <c r="B193" s="21"/>
      <c r="C193" s="12" t="s">
        <v>24</v>
      </c>
      <c r="D193" s="17">
        <f>193132.24/1000</f>
        <v>193.13224</v>
      </c>
      <c r="E193" s="12" t="s">
        <v>24</v>
      </c>
      <c r="F193" s="17">
        <v>0</v>
      </c>
      <c r="G193" s="12" t="s">
        <v>24</v>
      </c>
      <c r="H193" s="17">
        <v>0</v>
      </c>
      <c r="I193" s="22"/>
      <c r="J193" s="28"/>
      <c r="K193" s="22"/>
    </row>
    <row r="194" spans="1:11" s="4" customFormat="1" x14ac:dyDescent="0.25">
      <c r="A194" s="32"/>
      <c r="B194" s="21"/>
      <c r="C194" s="12" t="s">
        <v>25</v>
      </c>
      <c r="D194" s="17">
        <v>0</v>
      </c>
      <c r="E194" s="12" t="s">
        <v>25</v>
      </c>
      <c r="F194" s="17">
        <v>0</v>
      </c>
      <c r="G194" s="12" t="s">
        <v>25</v>
      </c>
      <c r="H194" s="17">
        <v>0</v>
      </c>
      <c r="I194" s="22"/>
      <c r="J194" s="28"/>
      <c r="K194" s="22"/>
    </row>
    <row r="195" spans="1:11" s="4" customFormat="1" x14ac:dyDescent="0.25">
      <c r="A195" s="32" t="s">
        <v>90</v>
      </c>
      <c r="B195" s="21" t="s">
        <v>91</v>
      </c>
      <c r="C195" s="9" t="s">
        <v>28</v>
      </c>
      <c r="D195" s="17">
        <f>D197+D198+D199+D200</f>
        <v>599.99701000000005</v>
      </c>
      <c r="E195" s="9" t="s">
        <v>28</v>
      </c>
      <c r="F195" s="17">
        <f>F197+F198+F199+F200</f>
        <v>0</v>
      </c>
      <c r="G195" s="9" t="s">
        <v>28</v>
      </c>
      <c r="H195" s="17">
        <v>0</v>
      </c>
      <c r="I195" s="22" t="s">
        <v>18</v>
      </c>
      <c r="J195" s="28"/>
      <c r="K195" s="22" t="s">
        <v>30</v>
      </c>
    </row>
    <row r="196" spans="1:11" s="4" customFormat="1" x14ac:dyDescent="0.25">
      <c r="A196" s="32"/>
      <c r="B196" s="21"/>
      <c r="C196" s="9" t="s">
        <v>21</v>
      </c>
      <c r="D196" s="17"/>
      <c r="E196" s="9" t="s">
        <v>21</v>
      </c>
      <c r="F196" s="17"/>
      <c r="G196" s="9" t="s">
        <v>21</v>
      </c>
      <c r="H196" s="17"/>
      <c r="I196" s="22"/>
      <c r="J196" s="28"/>
      <c r="K196" s="22"/>
    </row>
    <row r="197" spans="1:11" s="4" customFormat="1" x14ac:dyDescent="0.25">
      <c r="A197" s="32"/>
      <c r="B197" s="21"/>
      <c r="C197" s="12" t="s">
        <v>22</v>
      </c>
      <c r="D197" s="17">
        <v>0</v>
      </c>
      <c r="E197" s="12" t="s">
        <v>22</v>
      </c>
      <c r="F197" s="17">
        <v>0</v>
      </c>
      <c r="G197" s="12" t="s">
        <v>22</v>
      </c>
      <c r="H197" s="17">
        <v>0</v>
      </c>
      <c r="I197" s="22"/>
      <c r="J197" s="28"/>
      <c r="K197" s="22"/>
    </row>
    <row r="198" spans="1:11" s="4" customFormat="1" x14ac:dyDescent="0.25">
      <c r="A198" s="32"/>
      <c r="B198" s="21"/>
      <c r="C198" s="12" t="s">
        <v>23</v>
      </c>
      <c r="D198" s="17">
        <v>0</v>
      </c>
      <c r="E198" s="12" t="s">
        <v>23</v>
      </c>
      <c r="F198" s="17">
        <v>0</v>
      </c>
      <c r="G198" s="12" t="s">
        <v>23</v>
      </c>
      <c r="H198" s="17">
        <v>0</v>
      </c>
      <c r="I198" s="22"/>
      <c r="J198" s="28"/>
      <c r="K198" s="22"/>
    </row>
    <row r="199" spans="1:11" s="4" customFormat="1" x14ac:dyDescent="0.25">
      <c r="A199" s="32"/>
      <c r="B199" s="21"/>
      <c r="C199" s="12" t="s">
        <v>24</v>
      </c>
      <c r="D199" s="17">
        <f>599997.01/1000</f>
        <v>599.99701000000005</v>
      </c>
      <c r="E199" s="12" t="s">
        <v>24</v>
      </c>
      <c r="F199" s="17">
        <v>0</v>
      </c>
      <c r="G199" s="12" t="s">
        <v>24</v>
      </c>
      <c r="H199" s="17">
        <v>0</v>
      </c>
      <c r="I199" s="22"/>
      <c r="J199" s="28"/>
      <c r="K199" s="22"/>
    </row>
    <row r="200" spans="1:11" s="4" customFormat="1" x14ac:dyDescent="0.25">
      <c r="A200" s="32"/>
      <c r="B200" s="21"/>
      <c r="C200" s="12" t="s">
        <v>25</v>
      </c>
      <c r="D200" s="17">
        <v>0</v>
      </c>
      <c r="E200" s="12" t="s">
        <v>25</v>
      </c>
      <c r="F200" s="17">
        <v>0</v>
      </c>
      <c r="G200" s="12" t="s">
        <v>25</v>
      </c>
      <c r="H200" s="17">
        <v>0</v>
      </c>
      <c r="I200" s="22"/>
      <c r="J200" s="28"/>
      <c r="K200" s="22"/>
    </row>
    <row r="201" spans="1:11" s="4" customFormat="1" x14ac:dyDescent="0.25">
      <c r="A201" s="32" t="s">
        <v>92</v>
      </c>
      <c r="B201" s="21" t="s">
        <v>93</v>
      </c>
      <c r="C201" s="9" t="s">
        <v>28</v>
      </c>
      <c r="D201" s="17">
        <f>D203+D204+D205+D206</f>
        <v>115.11784</v>
      </c>
      <c r="E201" s="9" t="s">
        <v>28</v>
      </c>
      <c r="F201" s="17">
        <f>F203+F204+F205+F206</f>
        <v>0</v>
      </c>
      <c r="G201" s="9" t="s">
        <v>28</v>
      </c>
      <c r="H201" s="17">
        <v>0</v>
      </c>
      <c r="I201" s="22" t="s">
        <v>18</v>
      </c>
      <c r="J201" s="28"/>
      <c r="K201" s="22" t="s">
        <v>30</v>
      </c>
    </row>
    <row r="202" spans="1:11" s="4" customFormat="1" x14ac:dyDescent="0.25">
      <c r="A202" s="32"/>
      <c r="B202" s="21"/>
      <c r="C202" s="9" t="s">
        <v>21</v>
      </c>
      <c r="D202" s="17"/>
      <c r="E202" s="9" t="s">
        <v>21</v>
      </c>
      <c r="F202" s="17"/>
      <c r="G202" s="9" t="s">
        <v>21</v>
      </c>
      <c r="H202" s="17"/>
      <c r="I202" s="22"/>
      <c r="J202" s="28"/>
      <c r="K202" s="22"/>
    </row>
    <row r="203" spans="1:11" s="4" customFormat="1" x14ac:dyDescent="0.25">
      <c r="A203" s="32"/>
      <c r="B203" s="21"/>
      <c r="C203" s="12" t="s">
        <v>22</v>
      </c>
      <c r="D203" s="17">
        <v>0</v>
      </c>
      <c r="E203" s="12" t="s">
        <v>22</v>
      </c>
      <c r="F203" s="17">
        <v>0</v>
      </c>
      <c r="G203" s="12" t="s">
        <v>22</v>
      </c>
      <c r="H203" s="17">
        <v>0</v>
      </c>
      <c r="I203" s="22"/>
      <c r="J203" s="28"/>
      <c r="K203" s="22"/>
    </row>
    <row r="204" spans="1:11" s="4" customFormat="1" x14ac:dyDescent="0.25">
      <c r="A204" s="32"/>
      <c r="B204" s="21"/>
      <c r="C204" s="12" t="s">
        <v>23</v>
      </c>
      <c r="D204" s="17">
        <v>0</v>
      </c>
      <c r="E204" s="12" t="s">
        <v>23</v>
      </c>
      <c r="F204" s="17">
        <v>0</v>
      </c>
      <c r="G204" s="12" t="s">
        <v>23</v>
      </c>
      <c r="H204" s="17">
        <v>0</v>
      </c>
      <c r="I204" s="22"/>
      <c r="J204" s="28"/>
      <c r="K204" s="22"/>
    </row>
    <row r="205" spans="1:11" s="4" customFormat="1" x14ac:dyDescent="0.25">
      <c r="A205" s="32"/>
      <c r="B205" s="21"/>
      <c r="C205" s="12" t="s">
        <v>24</v>
      </c>
      <c r="D205" s="17">
        <f>115117.84/1000</f>
        <v>115.11784</v>
      </c>
      <c r="E205" s="12" t="s">
        <v>24</v>
      </c>
      <c r="F205" s="17">
        <v>0</v>
      </c>
      <c r="G205" s="12" t="s">
        <v>24</v>
      </c>
      <c r="H205" s="17">
        <v>0</v>
      </c>
      <c r="I205" s="22"/>
      <c r="J205" s="28"/>
      <c r="K205" s="22"/>
    </row>
    <row r="206" spans="1:11" s="4" customFormat="1" x14ac:dyDescent="0.25">
      <c r="A206" s="32"/>
      <c r="B206" s="21"/>
      <c r="C206" s="12" t="s">
        <v>25</v>
      </c>
      <c r="D206" s="17">
        <v>0</v>
      </c>
      <c r="E206" s="12" t="s">
        <v>25</v>
      </c>
      <c r="F206" s="17">
        <v>0</v>
      </c>
      <c r="G206" s="12" t="s">
        <v>25</v>
      </c>
      <c r="H206" s="17">
        <v>0</v>
      </c>
      <c r="I206" s="22"/>
      <c r="J206" s="28"/>
      <c r="K206" s="22"/>
    </row>
    <row r="207" spans="1:11" s="4" customFormat="1" x14ac:dyDescent="0.25">
      <c r="A207" s="32" t="s">
        <v>94</v>
      </c>
      <c r="B207" s="21" t="s">
        <v>95</v>
      </c>
      <c r="C207" s="9" t="s">
        <v>28</v>
      </c>
      <c r="D207" s="17">
        <f>D209+D210+D211+D212</f>
        <v>0.52500999999999998</v>
      </c>
      <c r="E207" s="9" t="s">
        <v>28</v>
      </c>
      <c r="F207" s="17">
        <f>F209+F210+F211+F212</f>
        <v>3402.3</v>
      </c>
      <c r="G207" s="9" t="s">
        <v>28</v>
      </c>
      <c r="H207" s="17">
        <v>0</v>
      </c>
      <c r="I207" s="22" t="s">
        <v>18</v>
      </c>
      <c r="J207" s="28"/>
      <c r="K207" s="22" t="s">
        <v>30</v>
      </c>
    </row>
    <row r="208" spans="1:11" s="4" customFormat="1" x14ac:dyDescent="0.25">
      <c r="A208" s="32"/>
      <c r="B208" s="21"/>
      <c r="C208" s="9" t="s">
        <v>21</v>
      </c>
      <c r="D208" s="17"/>
      <c r="E208" s="9" t="s">
        <v>21</v>
      </c>
      <c r="F208" s="17"/>
      <c r="G208" s="9" t="s">
        <v>21</v>
      </c>
      <c r="H208" s="17"/>
      <c r="I208" s="22"/>
      <c r="J208" s="28"/>
      <c r="K208" s="22"/>
    </row>
    <row r="209" spans="1:11" s="4" customFormat="1" x14ac:dyDescent="0.25">
      <c r="A209" s="32"/>
      <c r="B209" s="21"/>
      <c r="C209" s="12" t="s">
        <v>22</v>
      </c>
      <c r="D209" s="17">
        <v>0</v>
      </c>
      <c r="E209" s="12" t="s">
        <v>22</v>
      </c>
      <c r="F209" s="17">
        <v>0</v>
      </c>
      <c r="G209" s="12" t="s">
        <v>22</v>
      </c>
      <c r="H209" s="17">
        <v>0</v>
      </c>
      <c r="I209" s="22"/>
      <c r="J209" s="28"/>
      <c r="K209" s="22"/>
    </row>
    <row r="210" spans="1:11" s="4" customFormat="1" x14ac:dyDescent="0.25">
      <c r="A210" s="32"/>
      <c r="B210" s="21"/>
      <c r="C210" s="12" t="s">
        <v>23</v>
      </c>
      <c r="D210" s="17">
        <v>0</v>
      </c>
      <c r="E210" s="12" t="s">
        <v>23</v>
      </c>
      <c r="F210" s="17">
        <v>0</v>
      </c>
      <c r="G210" s="12" t="s">
        <v>23</v>
      </c>
      <c r="H210" s="17">
        <v>0</v>
      </c>
      <c r="I210" s="22"/>
      <c r="J210" s="28"/>
      <c r="K210" s="22"/>
    </row>
    <row r="211" spans="1:11" s="4" customFormat="1" x14ac:dyDescent="0.25">
      <c r="A211" s="32"/>
      <c r="B211" s="21"/>
      <c r="C211" s="12" t="s">
        <v>24</v>
      </c>
      <c r="D211" s="17">
        <f>525.01/1000</f>
        <v>0.52500999999999998</v>
      </c>
      <c r="E211" s="12" t="s">
        <v>24</v>
      </c>
      <c r="F211" s="17">
        <v>3402.3</v>
      </c>
      <c r="G211" s="12" t="s">
        <v>24</v>
      </c>
      <c r="H211" s="17">
        <v>14756.7</v>
      </c>
      <c r="I211" s="22"/>
      <c r="J211" s="28"/>
      <c r="K211" s="22"/>
    </row>
    <row r="212" spans="1:11" s="4" customFormat="1" x14ac:dyDescent="0.25">
      <c r="A212" s="32"/>
      <c r="B212" s="21"/>
      <c r="C212" s="12" t="s">
        <v>25</v>
      </c>
      <c r="D212" s="17">
        <v>0</v>
      </c>
      <c r="E212" s="12" t="s">
        <v>25</v>
      </c>
      <c r="F212" s="17">
        <v>0</v>
      </c>
      <c r="G212" s="12" t="s">
        <v>25</v>
      </c>
      <c r="H212" s="17">
        <v>0</v>
      </c>
      <c r="I212" s="22"/>
      <c r="J212" s="28"/>
      <c r="K212" s="22"/>
    </row>
    <row r="213" spans="1:11" s="4" customFormat="1" x14ac:dyDescent="0.25">
      <c r="A213" s="32" t="s">
        <v>96</v>
      </c>
      <c r="B213" s="21" t="s">
        <v>97</v>
      </c>
      <c r="C213" s="9" t="s">
        <v>28</v>
      </c>
      <c r="D213" s="17">
        <f>D215+D216+D217+D218</f>
        <v>1621.36</v>
      </c>
      <c r="E213" s="9" t="s">
        <v>28</v>
      </c>
      <c r="F213" s="17">
        <f>F215+F216+F217+F218</f>
        <v>1253.3</v>
      </c>
      <c r="G213" s="9" t="s">
        <v>28</v>
      </c>
      <c r="H213" s="17">
        <f>H215+H216+H217+H218</f>
        <v>518.1</v>
      </c>
      <c r="I213" s="22" t="s">
        <v>18</v>
      </c>
      <c r="J213" s="28"/>
      <c r="K213" s="22" t="s">
        <v>30</v>
      </c>
    </row>
    <row r="214" spans="1:11" s="4" customFormat="1" x14ac:dyDescent="0.25">
      <c r="A214" s="32"/>
      <c r="B214" s="21"/>
      <c r="C214" s="9" t="s">
        <v>21</v>
      </c>
      <c r="D214" s="17"/>
      <c r="E214" s="9" t="s">
        <v>21</v>
      </c>
      <c r="F214" s="17"/>
      <c r="G214" s="9" t="s">
        <v>21</v>
      </c>
      <c r="H214" s="17"/>
      <c r="I214" s="22"/>
      <c r="J214" s="28"/>
      <c r="K214" s="22"/>
    </row>
    <row r="215" spans="1:11" s="4" customFormat="1" x14ac:dyDescent="0.25">
      <c r="A215" s="32"/>
      <c r="B215" s="21"/>
      <c r="C215" s="12" t="s">
        <v>22</v>
      </c>
      <c r="D215" s="17">
        <v>0</v>
      </c>
      <c r="E215" s="12" t="s">
        <v>22</v>
      </c>
      <c r="F215" s="17">
        <v>0</v>
      </c>
      <c r="G215" s="12" t="s">
        <v>22</v>
      </c>
      <c r="H215" s="17">
        <v>0</v>
      </c>
      <c r="I215" s="22"/>
      <c r="J215" s="28"/>
      <c r="K215" s="22"/>
    </row>
    <row r="216" spans="1:11" s="4" customFormat="1" x14ac:dyDescent="0.25">
      <c r="A216" s="32"/>
      <c r="B216" s="21"/>
      <c r="C216" s="12" t="s">
        <v>23</v>
      </c>
      <c r="D216" s="17">
        <v>0</v>
      </c>
      <c r="E216" s="12" t="s">
        <v>23</v>
      </c>
      <c r="F216" s="17">
        <v>0</v>
      </c>
      <c r="G216" s="12" t="s">
        <v>23</v>
      </c>
      <c r="H216" s="17">
        <v>0</v>
      </c>
      <c r="I216" s="22"/>
      <c r="J216" s="28"/>
      <c r="K216" s="22"/>
    </row>
    <row r="217" spans="1:11" s="4" customFormat="1" x14ac:dyDescent="0.25">
      <c r="A217" s="32"/>
      <c r="B217" s="21"/>
      <c r="C217" s="12" t="s">
        <v>24</v>
      </c>
      <c r="D217" s="17">
        <v>1621.36</v>
      </c>
      <c r="E217" s="12" t="s">
        <v>24</v>
      </c>
      <c r="F217" s="17">
        <v>1253.3</v>
      </c>
      <c r="G217" s="12" t="s">
        <v>24</v>
      </c>
      <c r="H217" s="17">
        <v>518.1</v>
      </c>
      <c r="I217" s="22"/>
      <c r="J217" s="28"/>
      <c r="K217" s="22"/>
    </row>
    <row r="218" spans="1:11" s="4" customFormat="1" x14ac:dyDescent="0.25">
      <c r="A218" s="32"/>
      <c r="B218" s="21"/>
      <c r="C218" s="12" t="s">
        <v>25</v>
      </c>
      <c r="D218" s="17">
        <v>0</v>
      </c>
      <c r="E218" s="12" t="s">
        <v>25</v>
      </c>
      <c r="F218" s="17">
        <v>0</v>
      </c>
      <c r="G218" s="12" t="s">
        <v>25</v>
      </c>
      <c r="H218" s="17">
        <v>0</v>
      </c>
      <c r="I218" s="22"/>
      <c r="J218" s="28"/>
      <c r="K218" s="22"/>
    </row>
    <row r="219" spans="1:11" s="4" customFormat="1" x14ac:dyDescent="0.25">
      <c r="A219" s="32" t="s">
        <v>98</v>
      </c>
      <c r="B219" s="36" t="s">
        <v>99</v>
      </c>
      <c r="C219" s="9" t="s">
        <v>28</v>
      </c>
      <c r="D219" s="17">
        <f>D225+D231</f>
        <v>1500</v>
      </c>
      <c r="E219" s="9" t="s">
        <v>28</v>
      </c>
      <c r="F219" s="17">
        <f>F225+F231</f>
        <v>0</v>
      </c>
      <c r="G219" s="9" t="s">
        <v>28</v>
      </c>
      <c r="H219" s="17">
        <f>H225+H231</f>
        <v>0</v>
      </c>
      <c r="I219" s="22" t="s">
        <v>100</v>
      </c>
      <c r="J219" s="28"/>
      <c r="K219" s="22" t="s">
        <v>30</v>
      </c>
    </row>
    <row r="220" spans="1:11" s="4" customFormat="1" x14ac:dyDescent="0.25">
      <c r="A220" s="32"/>
      <c r="B220" s="37"/>
      <c r="C220" s="9" t="s">
        <v>21</v>
      </c>
      <c r="D220" s="17"/>
      <c r="E220" s="9" t="s">
        <v>21</v>
      </c>
      <c r="F220" s="17"/>
      <c r="G220" s="9" t="s">
        <v>21</v>
      </c>
      <c r="H220" s="17"/>
      <c r="I220" s="22"/>
      <c r="J220" s="28"/>
      <c r="K220" s="22"/>
    </row>
    <row r="221" spans="1:11" s="4" customFormat="1" x14ac:dyDescent="0.25">
      <c r="A221" s="32"/>
      <c r="B221" s="37"/>
      <c r="C221" s="12" t="s">
        <v>22</v>
      </c>
      <c r="D221" s="17">
        <f t="shared" ref="D221:D224" si="6">D227+D233</f>
        <v>0</v>
      </c>
      <c r="E221" s="12" t="s">
        <v>22</v>
      </c>
      <c r="F221" s="17">
        <f t="shared" ref="F221:H224" si="7">F227+F233</f>
        <v>0</v>
      </c>
      <c r="G221" s="12" t="s">
        <v>22</v>
      </c>
      <c r="H221" s="17">
        <f t="shared" si="7"/>
        <v>0</v>
      </c>
      <c r="I221" s="22"/>
      <c r="J221" s="28"/>
      <c r="K221" s="22"/>
    </row>
    <row r="222" spans="1:11" s="4" customFormat="1" x14ac:dyDescent="0.25">
      <c r="A222" s="32"/>
      <c r="B222" s="37"/>
      <c r="C222" s="12" t="s">
        <v>23</v>
      </c>
      <c r="D222" s="17">
        <f>D228+D234</f>
        <v>1485</v>
      </c>
      <c r="E222" s="12" t="s">
        <v>23</v>
      </c>
      <c r="F222" s="17">
        <f t="shared" si="7"/>
        <v>0</v>
      </c>
      <c r="G222" s="12" t="s">
        <v>23</v>
      </c>
      <c r="H222" s="17">
        <f t="shared" si="7"/>
        <v>0</v>
      </c>
      <c r="I222" s="22"/>
      <c r="J222" s="28"/>
      <c r="K222" s="22"/>
    </row>
    <row r="223" spans="1:11" s="4" customFormat="1" x14ac:dyDescent="0.25">
      <c r="A223" s="32"/>
      <c r="B223" s="37"/>
      <c r="C223" s="12" t="s">
        <v>24</v>
      </c>
      <c r="D223" s="17">
        <f>D229+D235</f>
        <v>15</v>
      </c>
      <c r="E223" s="12" t="s">
        <v>24</v>
      </c>
      <c r="F223" s="17">
        <f t="shared" si="7"/>
        <v>0</v>
      </c>
      <c r="G223" s="12" t="s">
        <v>24</v>
      </c>
      <c r="H223" s="17">
        <f t="shared" si="7"/>
        <v>0</v>
      </c>
      <c r="I223" s="22"/>
      <c r="J223" s="28"/>
      <c r="K223" s="22"/>
    </row>
    <row r="224" spans="1:11" s="4" customFormat="1" x14ac:dyDescent="0.25">
      <c r="A224" s="32"/>
      <c r="B224" s="38"/>
      <c r="C224" s="12" t="s">
        <v>25</v>
      </c>
      <c r="D224" s="17">
        <f t="shared" si="6"/>
        <v>0</v>
      </c>
      <c r="E224" s="12" t="s">
        <v>25</v>
      </c>
      <c r="F224" s="17">
        <f t="shared" si="7"/>
        <v>0</v>
      </c>
      <c r="G224" s="12" t="s">
        <v>25</v>
      </c>
      <c r="H224" s="17">
        <f t="shared" si="7"/>
        <v>0</v>
      </c>
      <c r="I224" s="22"/>
      <c r="J224" s="28"/>
      <c r="K224" s="22"/>
    </row>
    <row r="225" spans="1:11" s="4" customFormat="1" x14ac:dyDescent="0.25">
      <c r="A225" s="32" t="s">
        <v>101</v>
      </c>
      <c r="B225" s="21" t="s">
        <v>102</v>
      </c>
      <c r="C225" s="9" t="s">
        <v>28</v>
      </c>
      <c r="D225" s="17">
        <f>D227+D228+D229+D230</f>
        <v>1500</v>
      </c>
      <c r="E225" s="9" t="s">
        <v>28</v>
      </c>
      <c r="F225" s="17">
        <f>F227+F228+F229+F230</f>
        <v>0</v>
      </c>
      <c r="G225" s="9" t="s">
        <v>28</v>
      </c>
      <c r="H225" s="17">
        <f>H227+H228+H229+H230</f>
        <v>0</v>
      </c>
      <c r="I225" s="22" t="s">
        <v>100</v>
      </c>
      <c r="J225" s="28"/>
      <c r="K225" s="22" t="s">
        <v>30</v>
      </c>
    </row>
    <row r="226" spans="1:11" s="4" customFormat="1" x14ac:dyDescent="0.25">
      <c r="A226" s="32"/>
      <c r="B226" s="21"/>
      <c r="C226" s="9" t="s">
        <v>21</v>
      </c>
      <c r="D226" s="17"/>
      <c r="E226" s="9" t="s">
        <v>21</v>
      </c>
      <c r="F226" s="17"/>
      <c r="G226" s="9" t="s">
        <v>21</v>
      </c>
      <c r="H226" s="17"/>
      <c r="I226" s="22"/>
      <c r="J226" s="28"/>
      <c r="K226" s="22"/>
    </row>
    <row r="227" spans="1:11" s="4" customFormat="1" x14ac:dyDescent="0.25">
      <c r="A227" s="32"/>
      <c r="B227" s="21"/>
      <c r="C227" s="12" t="s">
        <v>22</v>
      </c>
      <c r="D227" s="17">
        <v>0</v>
      </c>
      <c r="E227" s="12" t="s">
        <v>22</v>
      </c>
      <c r="F227" s="17">
        <v>0</v>
      </c>
      <c r="G227" s="12" t="s">
        <v>22</v>
      </c>
      <c r="H227" s="17">
        <v>0</v>
      </c>
      <c r="I227" s="22"/>
      <c r="J227" s="28"/>
      <c r="K227" s="22"/>
    </row>
    <row r="228" spans="1:11" s="4" customFormat="1" x14ac:dyDescent="0.25">
      <c r="A228" s="32"/>
      <c r="B228" s="21"/>
      <c r="C228" s="12" t="s">
        <v>23</v>
      </c>
      <c r="D228" s="17">
        <v>1485</v>
      </c>
      <c r="E228" s="12" t="s">
        <v>23</v>
      </c>
      <c r="F228" s="17">
        <v>0</v>
      </c>
      <c r="G228" s="12" t="s">
        <v>23</v>
      </c>
      <c r="H228" s="17">
        <v>0</v>
      </c>
      <c r="I228" s="22"/>
      <c r="J228" s="28"/>
      <c r="K228" s="22"/>
    </row>
    <row r="229" spans="1:11" s="4" customFormat="1" x14ac:dyDescent="0.25">
      <c r="A229" s="32"/>
      <c r="B229" s="21"/>
      <c r="C229" s="12" t="s">
        <v>24</v>
      </c>
      <c r="D229" s="17">
        <v>15</v>
      </c>
      <c r="E229" s="12" t="s">
        <v>24</v>
      </c>
      <c r="F229" s="17">
        <v>0</v>
      </c>
      <c r="G229" s="12" t="s">
        <v>24</v>
      </c>
      <c r="H229" s="17">
        <v>0</v>
      </c>
      <c r="I229" s="22"/>
      <c r="J229" s="28"/>
      <c r="K229" s="22"/>
    </row>
    <row r="230" spans="1:11" s="4" customFormat="1" x14ac:dyDescent="0.25">
      <c r="A230" s="32"/>
      <c r="B230" s="21"/>
      <c r="C230" s="12" t="s">
        <v>25</v>
      </c>
      <c r="D230" s="17">
        <v>0</v>
      </c>
      <c r="E230" s="12" t="s">
        <v>25</v>
      </c>
      <c r="F230" s="17">
        <v>0</v>
      </c>
      <c r="G230" s="12" t="s">
        <v>25</v>
      </c>
      <c r="H230" s="17">
        <v>0</v>
      </c>
      <c r="I230" s="22"/>
      <c r="J230" s="28"/>
      <c r="K230" s="22"/>
    </row>
    <row r="231" spans="1:11" s="4" customFormat="1" x14ac:dyDescent="0.25">
      <c r="A231" s="32" t="s">
        <v>103</v>
      </c>
      <c r="B231" s="21" t="s">
        <v>95</v>
      </c>
      <c r="C231" s="9" t="s">
        <v>28</v>
      </c>
      <c r="D231" s="17">
        <f>D233+D234+D235+D236</f>
        <v>0</v>
      </c>
      <c r="E231" s="9" t="s">
        <v>28</v>
      </c>
      <c r="F231" s="17">
        <f>F233+F234+F235+F236</f>
        <v>0</v>
      </c>
      <c r="G231" s="9" t="s">
        <v>28</v>
      </c>
      <c r="H231" s="17">
        <f>H233+H234+H235+H236</f>
        <v>0</v>
      </c>
      <c r="I231" s="22" t="s">
        <v>104</v>
      </c>
      <c r="J231" s="28"/>
      <c r="K231" s="22" t="s">
        <v>30</v>
      </c>
    </row>
    <row r="232" spans="1:11" s="4" customFormat="1" x14ac:dyDescent="0.25">
      <c r="A232" s="32"/>
      <c r="B232" s="21"/>
      <c r="C232" s="9" t="s">
        <v>21</v>
      </c>
      <c r="D232" s="17"/>
      <c r="E232" s="9" t="s">
        <v>21</v>
      </c>
      <c r="F232" s="17"/>
      <c r="G232" s="9" t="s">
        <v>21</v>
      </c>
      <c r="H232" s="17"/>
      <c r="I232" s="22"/>
      <c r="J232" s="28"/>
      <c r="K232" s="22"/>
    </row>
    <row r="233" spans="1:11" s="4" customFormat="1" x14ac:dyDescent="0.25">
      <c r="A233" s="32"/>
      <c r="B233" s="21"/>
      <c r="C233" s="12" t="s">
        <v>22</v>
      </c>
      <c r="D233" s="17">
        <v>0</v>
      </c>
      <c r="E233" s="12" t="s">
        <v>22</v>
      </c>
      <c r="F233" s="17">
        <v>0</v>
      </c>
      <c r="G233" s="12" t="s">
        <v>22</v>
      </c>
      <c r="H233" s="17">
        <v>0</v>
      </c>
      <c r="I233" s="22"/>
      <c r="J233" s="28"/>
      <c r="K233" s="22"/>
    </row>
    <row r="234" spans="1:11" s="4" customFormat="1" x14ac:dyDescent="0.25">
      <c r="A234" s="32"/>
      <c r="B234" s="21"/>
      <c r="C234" s="12" t="s">
        <v>23</v>
      </c>
      <c r="D234" s="17">
        <v>0</v>
      </c>
      <c r="E234" s="12" t="s">
        <v>23</v>
      </c>
      <c r="F234" s="17">
        <v>0</v>
      </c>
      <c r="G234" s="12" t="s">
        <v>23</v>
      </c>
      <c r="H234" s="17">
        <v>0</v>
      </c>
      <c r="I234" s="22"/>
      <c r="J234" s="28"/>
      <c r="K234" s="22"/>
    </row>
    <row r="235" spans="1:11" s="4" customFormat="1" x14ac:dyDescent="0.25">
      <c r="A235" s="32"/>
      <c r="B235" s="21"/>
      <c r="C235" s="12" t="s">
        <v>24</v>
      </c>
      <c r="D235" s="17">
        <v>0</v>
      </c>
      <c r="E235" s="12" t="s">
        <v>24</v>
      </c>
      <c r="F235" s="17">
        <v>0</v>
      </c>
      <c r="G235" s="12" t="s">
        <v>24</v>
      </c>
      <c r="H235" s="17">
        <v>0</v>
      </c>
      <c r="I235" s="22"/>
      <c r="J235" s="28"/>
      <c r="K235" s="22"/>
    </row>
    <row r="236" spans="1:11" s="4" customFormat="1" x14ac:dyDescent="0.25">
      <c r="A236" s="32"/>
      <c r="B236" s="21"/>
      <c r="C236" s="12" t="s">
        <v>25</v>
      </c>
      <c r="D236" s="17">
        <v>0</v>
      </c>
      <c r="E236" s="12" t="s">
        <v>25</v>
      </c>
      <c r="F236" s="17">
        <v>0</v>
      </c>
      <c r="G236" s="12" t="s">
        <v>25</v>
      </c>
      <c r="H236" s="17">
        <v>0</v>
      </c>
      <c r="I236" s="22"/>
      <c r="J236" s="28"/>
      <c r="K236" s="22"/>
    </row>
    <row r="237" spans="1:11" s="4" customFormat="1" x14ac:dyDescent="0.25">
      <c r="A237" s="39" t="s">
        <v>105</v>
      </c>
      <c r="B237" s="36" t="s">
        <v>99</v>
      </c>
      <c r="C237" s="9" t="s">
        <v>28</v>
      </c>
      <c r="D237" s="17">
        <f>D239+D240+D241+D242</f>
        <v>0</v>
      </c>
      <c r="E237" s="9" t="s">
        <v>28</v>
      </c>
      <c r="F237" s="17">
        <f>F239+F240+F241+F242</f>
        <v>1500</v>
      </c>
      <c r="G237" s="9" t="s">
        <v>28</v>
      </c>
      <c r="H237" s="17">
        <f>H239+H240+H241+H242</f>
        <v>15</v>
      </c>
      <c r="I237" s="22" t="s">
        <v>104</v>
      </c>
      <c r="J237" s="28"/>
      <c r="K237" s="22" t="s">
        <v>30</v>
      </c>
    </row>
    <row r="238" spans="1:11" s="4" customFormat="1" x14ac:dyDescent="0.25">
      <c r="A238" s="40"/>
      <c r="B238" s="37"/>
      <c r="C238" s="9" t="s">
        <v>21</v>
      </c>
      <c r="D238" s="17"/>
      <c r="E238" s="9" t="s">
        <v>21</v>
      </c>
      <c r="F238" s="17"/>
      <c r="G238" s="9" t="s">
        <v>21</v>
      </c>
      <c r="H238" s="17"/>
      <c r="I238" s="22"/>
      <c r="J238" s="28"/>
      <c r="K238" s="22"/>
    </row>
    <row r="239" spans="1:11" s="4" customFormat="1" x14ac:dyDescent="0.25">
      <c r="A239" s="40"/>
      <c r="B239" s="37"/>
      <c r="C239" s="12" t="s">
        <v>22</v>
      </c>
      <c r="D239" s="17">
        <f t="shared" ref="D239:F242" si="8">D245</f>
        <v>0</v>
      </c>
      <c r="E239" s="12" t="s">
        <v>22</v>
      </c>
      <c r="F239" s="17">
        <f t="shared" si="8"/>
        <v>0</v>
      </c>
      <c r="G239" s="12" t="s">
        <v>22</v>
      </c>
      <c r="H239" s="17">
        <f t="shared" ref="H239:H242" si="9">H245</f>
        <v>0</v>
      </c>
      <c r="I239" s="22"/>
      <c r="J239" s="28"/>
      <c r="K239" s="22"/>
    </row>
    <row r="240" spans="1:11" s="4" customFormat="1" x14ac:dyDescent="0.25">
      <c r="A240" s="40"/>
      <c r="B240" s="37"/>
      <c r="C240" s="12" t="s">
        <v>23</v>
      </c>
      <c r="D240" s="17">
        <f t="shared" si="8"/>
        <v>0</v>
      </c>
      <c r="E240" s="12" t="s">
        <v>23</v>
      </c>
      <c r="F240" s="17">
        <f t="shared" si="8"/>
        <v>0</v>
      </c>
      <c r="G240" s="12" t="s">
        <v>23</v>
      </c>
      <c r="H240" s="17">
        <f t="shared" si="9"/>
        <v>0</v>
      </c>
      <c r="I240" s="22"/>
      <c r="J240" s="28"/>
      <c r="K240" s="22"/>
    </row>
    <row r="241" spans="1:11" s="4" customFormat="1" x14ac:dyDescent="0.25">
      <c r="A241" s="40"/>
      <c r="B241" s="37"/>
      <c r="C241" s="12" t="s">
        <v>24</v>
      </c>
      <c r="D241" s="17">
        <f t="shared" si="8"/>
        <v>0</v>
      </c>
      <c r="E241" s="12" t="s">
        <v>24</v>
      </c>
      <c r="F241" s="17">
        <f t="shared" si="8"/>
        <v>1500</v>
      </c>
      <c r="G241" s="12" t="s">
        <v>24</v>
      </c>
      <c r="H241" s="17">
        <f t="shared" si="9"/>
        <v>15</v>
      </c>
      <c r="I241" s="22"/>
      <c r="J241" s="28"/>
      <c r="K241" s="22"/>
    </row>
    <row r="242" spans="1:11" s="4" customFormat="1" x14ac:dyDescent="0.25">
      <c r="A242" s="41"/>
      <c r="B242" s="38"/>
      <c r="C242" s="12" t="s">
        <v>25</v>
      </c>
      <c r="D242" s="17">
        <f t="shared" si="8"/>
        <v>0</v>
      </c>
      <c r="E242" s="12" t="s">
        <v>25</v>
      </c>
      <c r="F242" s="17">
        <f t="shared" si="8"/>
        <v>0</v>
      </c>
      <c r="G242" s="12" t="s">
        <v>25</v>
      </c>
      <c r="H242" s="17">
        <f t="shared" si="9"/>
        <v>0</v>
      </c>
      <c r="I242" s="22"/>
      <c r="J242" s="28"/>
      <c r="K242" s="22"/>
    </row>
    <row r="243" spans="1:11" s="4" customFormat="1" x14ac:dyDescent="0.25">
      <c r="A243" s="32" t="s">
        <v>106</v>
      </c>
      <c r="B243" s="21" t="s">
        <v>95</v>
      </c>
      <c r="C243" s="9" t="s">
        <v>28</v>
      </c>
      <c r="D243" s="17">
        <f>D245+D246+D247+D248</f>
        <v>0</v>
      </c>
      <c r="E243" s="9" t="s">
        <v>28</v>
      </c>
      <c r="F243" s="17">
        <f>F245+F246+F247+F248</f>
        <v>1500</v>
      </c>
      <c r="G243" s="9" t="s">
        <v>28</v>
      </c>
      <c r="H243" s="17">
        <f>H245+H246+H247+H248</f>
        <v>15</v>
      </c>
      <c r="I243" s="22" t="s">
        <v>104</v>
      </c>
      <c r="J243" s="28"/>
      <c r="K243" s="22" t="s">
        <v>30</v>
      </c>
    </row>
    <row r="244" spans="1:11" s="4" customFormat="1" x14ac:dyDescent="0.25">
      <c r="A244" s="32"/>
      <c r="B244" s="21"/>
      <c r="C244" s="9" t="s">
        <v>21</v>
      </c>
      <c r="D244" s="17"/>
      <c r="E244" s="9" t="s">
        <v>21</v>
      </c>
      <c r="F244" s="17"/>
      <c r="G244" s="9" t="s">
        <v>21</v>
      </c>
      <c r="H244" s="17"/>
      <c r="I244" s="22"/>
      <c r="J244" s="28"/>
      <c r="K244" s="22"/>
    </row>
    <row r="245" spans="1:11" s="4" customFormat="1" x14ac:dyDescent="0.25">
      <c r="A245" s="32"/>
      <c r="B245" s="21"/>
      <c r="C245" s="12" t="s">
        <v>22</v>
      </c>
      <c r="D245" s="17">
        <v>0</v>
      </c>
      <c r="E245" s="12" t="s">
        <v>22</v>
      </c>
      <c r="F245" s="17">
        <v>0</v>
      </c>
      <c r="G245" s="12" t="s">
        <v>22</v>
      </c>
      <c r="H245" s="17">
        <v>0</v>
      </c>
      <c r="I245" s="22"/>
      <c r="J245" s="28"/>
      <c r="K245" s="22"/>
    </row>
    <row r="246" spans="1:11" s="4" customFormat="1" x14ac:dyDescent="0.25">
      <c r="A246" s="32"/>
      <c r="B246" s="21"/>
      <c r="C246" s="12" t="s">
        <v>23</v>
      </c>
      <c r="D246" s="17">
        <v>0</v>
      </c>
      <c r="E246" s="12" t="s">
        <v>23</v>
      </c>
      <c r="F246" s="17">
        <v>0</v>
      </c>
      <c r="G246" s="12" t="s">
        <v>23</v>
      </c>
      <c r="H246" s="17">
        <v>0</v>
      </c>
      <c r="I246" s="22"/>
      <c r="J246" s="28"/>
      <c r="K246" s="22"/>
    </row>
    <row r="247" spans="1:11" s="4" customFormat="1" x14ac:dyDescent="0.25">
      <c r="A247" s="32"/>
      <c r="B247" s="21"/>
      <c r="C247" s="12" t="s">
        <v>24</v>
      </c>
      <c r="D247" s="17">
        <v>0</v>
      </c>
      <c r="E247" s="12" t="s">
        <v>24</v>
      </c>
      <c r="F247" s="17">
        <v>1500</v>
      </c>
      <c r="G247" s="12" t="s">
        <v>24</v>
      </c>
      <c r="H247" s="17">
        <v>15</v>
      </c>
      <c r="I247" s="22"/>
      <c r="J247" s="28"/>
      <c r="K247" s="22"/>
    </row>
    <row r="248" spans="1:11" s="4" customFormat="1" x14ac:dyDescent="0.25">
      <c r="A248" s="32"/>
      <c r="B248" s="21"/>
      <c r="C248" s="12" t="s">
        <v>25</v>
      </c>
      <c r="D248" s="17">
        <v>0</v>
      </c>
      <c r="E248" s="12" t="s">
        <v>25</v>
      </c>
      <c r="F248" s="17">
        <v>0</v>
      </c>
      <c r="G248" s="12" t="s">
        <v>25</v>
      </c>
      <c r="H248" s="17">
        <v>0</v>
      </c>
      <c r="I248" s="22"/>
      <c r="J248" s="28"/>
      <c r="K248" s="22"/>
    </row>
    <row r="249" spans="1:11" s="4" customFormat="1" x14ac:dyDescent="0.25">
      <c r="A249" s="39" t="s">
        <v>107</v>
      </c>
      <c r="B249" s="36" t="s">
        <v>108</v>
      </c>
      <c r="C249" s="9" t="s">
        <v>28</v>
      </c>
      <c r="D249" s="17">
        <f>D251+D252+D253+D254</f>
        <v>0</v>
      </c>
      <c r="E249" s="9" t="s">
        <v>28</v>
      </c>
      <c r="F249" s="17">
        <f>F251+F252+F253+F254</f>
        <v>599.69000000000005</v>
      </c>
      <c r="G249" s="9" t="s">
        <v>28</v>
      </c>
      <c r="H249" s="17">
        <f>H251+H252+H253+H254</f>
        <v>0</v>
      </c>
      <c r="I249" s="22" t="s">
        <v>104</v>
      </c>
      <c r="J249" s="28"/>
      <c r="K249" s="22" t="s">
        <v>30</v>
      </c>
    </row>
    <row r="250" spans="1:11" s="4" customFormat="1" x14ac:dyDescent="0.25">
      <c r="A250" s="40"/>
      <c r="B250" s="37"/>
      <c r="C250" s="9" t="s">
        <v>21</v>
      </c>
      <c r="D250" s="17"/>
      <c r="E250" s="9" t="s">
        <v>21</v>
      </c>
      <c r="F250" s="17"/>
      <c r="G250" s="9" t="s">
        <v>21</v>
      </c>
      <c r="H250" s="17"/>
      <c r="I250" s="22"/>
      <c r="J250" s="28"/>
      <c r="K250" s="22"/>
    </row>
    <row r="251" spans="1:11" s="4" customFormat="1" x14ac:dyDescent="0.25">
      <c r="A251" s="40"/>
      <c r="B251" s="37"/>
      <c r="C251" s="12" t="s">
        <v>22</v>
      </c>
      <c r="D251" s="17">
        <f t="shared" ref="D251:D254" si="10">D257</f>
        <v>0</v>
      </c>
      <c r="E251" s="12" t="s">
        <v>22</v>
      </c>
      <c r="F251" s="17">
        <f t="shared" ref="F251:F254" si="11">F257</f>
        <v>0</v>
      </c>
      <c r="G251" s="12" t="s">
        <v>22</v>
      </c>
      <c r="H251" s="17">
        <f t="shared" ref="H251:H254" si="12">H257</f>
        <v>0</v>
      </c>
      <c r="I251" s="22"/>
      <c r="J251" s="28"/>
      <c r="K251" s="22"/>
    </row>
    <row r="252" spans="1:11" s="4" customFormat="1" x14ac:dyDescent="0.25">
      <c r="A252" s="40"/>
      <c r="B252" s="37"/>
      <c r="C252" s="12" t="s">
        <v>23</v>
      </c>
      <c r="D252" s="17">
        <f t="shared" si="10"/>
        <v>0</v>
      </c>
      <c r="E252" s="12" t="s">
        <v>23</v>
      </c>
      <c r="F252" s="17">
        <f t="shared" si="11"/>
        <v>0</v>
      </c>
      <c r="G252" s="12" t="s">
        <v>23</v>
      </c>
      <c r="H252" s="17">
        <f t="shared" si="12"/>
        <v>0</v>
      </c>
      <c r="I252" s="22"/>
      <c r="J252" s="28"/>
      <c r="K252" s="22"/>
    </row>
    <row r="253" spans="1:11" s="4" customFormat="1" x14ac:dyDescent="0.25">
      <c r="A253" s="40"/>
      <c r="B253" s="37"/>
      <c r="C253" s="12" t="s">
        <v>24</v>
      </c>
      <c r="D253" s="17">
        <f t="shared" si="10"/>
        <v>0</v>
      </c>
      <c r="E253" s="12" t="s">
        <v>24</v>
      </c>
      <c r="F253" s="17">
        <f t="shared" si="11"/>
        <v>599.69000000000005</v>
      </c>
      <c r="G253" s="12" t="s">
        <v>24</v>
      </c>
      <c r="H253" s="17">
        <f t="shared" si="12"/>
        <v>0</v>
      </c>
      <c r="I253" s="22"/>
      <c r="J253" s="28"/>
      <c r="K253" s="22"/>
    </row>
    <row r="254" spans="1:11" s="4" customFormat="1" x14ac:dyDescent="0.25">
      <c r="A254" s="41"/>
      <c r="B254" s="38"/>
      <c r="C254" s="12" t="s">
        <v>25</v>
      </c>
      <c r="D254" s="17">
        <f t="shared" si="10"/>
        <v>0</v>
      </c>
      <c r="E254" s="12" t="s">
        <v>25</v>
      </c>
      <c r="F254" s="17">
        <f t="shared" si="11"/>
        <v>0</v>
      </c>
      <c r="G254" s="12" t="s">
        <v>25</v>
      </c>
      <c r="H254" s="17">
        <f t="shared" si="12"/>
        <v>0</v>
      </c>
      <c r="I254" s="22"/>
      <c r="J254" s="28"/>
      <c r="K254" s="22"/>
    </row>
    <row r="255" spans="1:11" s="4" customFormat="1" x14ac:dyDescent="0.25">
      <c r="A255" s="32" t="s">
        <v>109</v>
      </c>
      <c r="B255" s="21" t="s">
        <v>95</v>
      </c>
      <c r="C255" s="9" t="s">
        <v>28</v>
      </c>
      <c r="D255" s="17">
        <f>D257+D258+D259+D260</f>
        <v>0</v>
      </c>
      <c r="E255" s="9" t="s">
        <v>28</v>
      </c>
      <c r="F255" s="17">
        <f>F257+F258+F259+F260</f>
        <v>599.69000000000005</v>
      </c>
      <c r="G255" s="9" t="s">
        <v>28</v>
      </c>
      <c r="H255" s="17">
        <f>H257+H258+H259+H260</f>
        <v>0</v>
      </c>
      <c r="I255" s="22" t="s">
        <v>104</v>
      </c>
      <c r="J255" s="28"/>
      <c r="K255" s="22" t="s">
        <v>30</v>
      </c>
    </row>
    <row r="256" spans="1:11" s="4" customFormat="1" x14ac:dyDescent="0.25">
      <c r="A256" s="32"/>
      <c r="B256" s="21"/>
      <c r="C256" s="9" t="s">
        <v>21</v>
      </c>
      <c r="D256" s="17"/>
      <c r="E256" s="9" t="s">
        <v>21</v>
      </c>
      <c r="F256" s="17"/>
      <c r="G256" s="9" t="s">
        <v>21</v>
      </c>
      <c r="H256" s="17"/>
      <c r="I256" s="22"/>
      <c r="J256" s="28"/>
      <c r="K256" s="22"/>
    </row>
    <row r="257" spans="1:11" s="4" customFormat="1" x14ac:dyDescent="0.25">
      <c r="A257" s="32"/>
      <c r="B257" s="21"/>
      <c r="C257" s="12" t="s">
        <v>22</v>
      </c>
      <c r="D257" s="17">
        <v>0</v>
      </c>
      <c r="E257" s="12" t="s">
        <v>22</v>
      </c>
      <c r="F257" s="17">
        <v>0</v>
      </c>
      <c r="G257" s="12" t="s">
        <v>22</v>
      </c>
      <c r="H257" s="17">
        <v>0</v>
      </c>
      <c r="I257" s="22"/>
      <c r="J257" s="28"/>
      <c r="K257" s="22"/>
    </row>
    <row r="258" spans="1:11" s="4" customFormat="1" x14ac:dyDescent="0.25">
      <c r="A258" s="32"/>
      <c r="B258" s="21"/>
      <c r="C258" s="12" t="s">
        <v>23</v>
      </c>
      <c r="D258" s="17">
        <v>0</v>
      </c>
      <c r="E258" s="12" t="s">
        <v>23</v>
      </c>
      <c r="F258" s="17">
        <v>0</v>
      </c>
      <c r="G258" s="12" t="s">
        <v>23</v>
      </c>
      <c r="H258" s="17">
        <v>0</v>
      </c>
      <c r="I258" s="22"/>
      <c r="J258" s="28"/>
      <c r="K258" s="22"/>
    </row>
    <row r="259" spans="1:11" s="4" customFormat="1" x14ac:dyDescent="0.25">
      <c r="A259" s="32"/>
      <c r="B259" s="21"/>
      <c r="C259" s="12" t="s">
        <v>24</v>
      </c>
      <c r="D259" s="17">
        <v>0</v>
      </c>
      <c r="E259" s="12" t="s">
        <v>24</v>
      </c>
      <c r="F259" s="17">
        <v>599.69000000000005</v>
      </c>
      <c r="G259" s="12" t="s">
        <v>24</v>
      </c>
      <c r="H259" s="17">
        <v>0</v>
      </c>
      <c r="I259" s="22"/>
      <c r="J259" s="28"/>
      <c r="K259" s="22"/>
    </row>
    <row r="260" spans="1:11" s="4" customFormat="1" x14ac:dyDescent="0.25">
      <c r="A260" s="32"/>
      <c r="B260" s="21"/>
      <c r="C260" s="12" t="s">
        <v>25</v>
      </c>
      <c r="D260" s="17">
        <v>0</v>
      </c>
      <c r="E260" s="12" t="s">
        <v>25</v>
      </c>
      <c r="F260" s="17">
        <v>0</v>
      </c>
      <c r="G260" s="12" t="s">
        <v>25</v>
      </c>
      <c r="H260" s="17">
        <v>0</v>
      </c>
      <c r="I260" s="22"/>
      <c r="J260" s="28"/>
      <c r="K260" s="22"/>
    </row>
    <row r="261" spans="1:11" s="4" customFormat="1" x14ac:dyDescent="0.25">
      <c r="A261" s="39" t="s">
        <v>110</v>
      </c>
      <c r="B261" s="36" t="s">
        <v>111</v>
      </c>
      <c r="C261" s="9" t="s">
        <v>28</v>
      </c>
      <c r="D261" s="17">
        <f>D263+D264+D265+D266</f>
        <v>280</v>
      </c>
      <c r="E261" s="9" t="s">
        <v>28</v>
      </c>
      <c r="F261" s="17">
        <f>F263+F264+F265+F266</f>
        <v>3457.76</v>
      </c>
      <c r="G261" s="9" t="s">
        <v>28</v>
      </c>
      <c r="H261" s="17">
        <f>H263+H264+H265+H266</f>
        <v>0</v>
      </c>
      <c r="I261" s="22" t="s">
        <v>104</v>
      </c>
      <c r="J261" s="28"/>
      <c r="K261" s="22" t="s">
        <v>30</v>
      </c>
    </row>
    <row r="262" spans="1:11" s="4" customFormat="1" x14ac:dyDescent="0.25">
      <c r="A262" s="40"/>
      <c r="B262" s="37"/>
      <c r="C262" s="9" t="s">
        <v>21</v>
      </c>
      <c r="D262" s="17"/>
      <c r="E262" s="9" t="s">
        <v>21</v>
      </c>
      <c r="F262" s="17"/>
      <c r="G262" s="9" t="s">
        <v>21</v>
      </c>
      <c r="H262" s="17"/>
      <c r="I262" s="22"/>
      <c r="J262" s="28"/>
      <c r="K262" s="22"/>
    </row>
    <row r="263" spans="1:11" s="4" customFormat="1" x14ac:dyDescent="0.25">
      <c r="A263" s="40"/>
      <c r="B263" s="37"/>
      <c r="C263" s="12" t="s">
        <v>22</v>
      </c>
      <c r="D263" s="17">
        <f t="shared" ref="D263:F266" si="13">D275+D269</f>
        <v>0</v>
      </c>
      <c r="E263" s="12" t="s">
        <v>22</v>
      </c>
      <c r="F263" s="17">
        <f t="shared" si="13"/>
        <v>0</v>
      </c>
      <c r="G263" s="12" t="s">
        <v>22</v>
      </c>
      <c r="H263" s="17">
        <f t="shared" ref="H263:H264" si="14">H275+H269</f>
        <v>0</v>
      </c>
      <c r="I263" s="22"/>
      <c r="J263" s="28"/>
      <c r="K263" s="22"/>
    </row>
    <row r="264" spans="1:11" s="4" customFormat="1" x14ac:dyDescent="0.25">
      <c r="A264" s="40"/>
      <c r="B264" s="37"/>
      <c r="C264" s="12" t="s">
        <v>23</v>
      </c>
      <c r="D264" s="17">
        <f t="shared" si="13"/>
        <v>0</v>
      </c>
      <c r="E264" s="12" t="s">
        <v>23</v>
      </c>
      <c r="F264" s="17">
        <f t="shared" si="13"/>
        <v>0</v>
      </c>
      <c r="G264" s="12" t="s">
        <v>23</v>
      </c>
      <c r="H264" s="17">
        <f t="shared" si="14"/>
        <v>0</v>
      </c>
      <c r="I264" s="22"/>
      <c r="J264" s="28"/>
      <c r="K264" s="22"/>
    </row>
    <row r="265" spans="1:11" s="4" customFormat="1" x14ac:dyDescent="0.25">
      <c r="A265" s="40"/>
      <c r="B265" s="37"/>
      <c r="C265" s="12" t="s">
        <v>24</v>
      </c>
      <c r="D265" s="17">
        <f>D277+D271</f>
        <v>280</v>
      </c>
      <c r="E265" s="12" t="s">
        <v>24</v>
      </c>
      <c r="F265" s="17">
        <f>F277+F271</f>
        <v>3457.76</v>
      </c>
      <c r="G265" s="12" t="s">
        <v>24</v>
      </c>
      <c r="H265" s="17">
        <f>H277+H271</f>
        <v>0</v>
      </c>
      <c r="I265" s="22"/>
      <c r="J265" s="28"/>
      <c r="K265" s="22"/>
    </row>
    <row r="266" spans="1:11" s="4" customFormat="1" x14ac:dyDescent="0.25">
      <c r="A266" s="41"/>
      <c r="B266" s="38"/>
      <c r="C266" s="12" t="s">
        <v>25</v>
      </c>
      <c r="D266" s="17">
        <f t="shared" si="13"/>
        <v>0</v>
      </c>
      <c r="E266" s="12" t="s">
        <v>25</v>
      </c>
      <c r="F266" s="17">
        <f t="shared" si="13"/>
        <v>0</v>
      </c>
      <c r="G266" s="12" t="s">
        <v>25</v>
      </c>
      <c r="H266" s="17">
        <f t="shared" ref="H266" si="15">H278+H272</f>
        <v>0</v>
      </c>
      <c r="I266" s="22"/>
      <c r="J266" s="28"/>
      <c r="K266" s="22"/>
    </row>
    <row r="267" spans="1:11" s="4" customFormat="1" x14ac:dyDescent="0.25">
      <c r="A267" s="32" t="s">
        <v>112</v>
      </c>
      <c r="B267" s="21" t="s">
        <v>113</v>
      </c>
      <c r="C267" s="9" t="s">
        <v>28</v>
      </c>
      <c r="D267" s="17">
        <f>D269+D270+D271+D272</f>
        <v>280</v>
      </c>
      <c r="E267" s="9" t="s">
        <v>28</v>
      </c>
      <c r="F267" s="17">
        <f>F269+F270+F271+F272</f>
        <v>0</v>
      </c>
      <c r="G267" s="9" t="s">
        <v>28</v>
      </c>
      <c r="H267" s="17">
        <f>H269+H270+H271+H272</f>
        <v>0</v>
      </c>
      <c r="I267" s="22" t="s">
        <v>104</v>
      </c>
      <c r="J267" s="28"/>
      <c r="K267" s="22" t="s">
        <v>30</v>
      </c>
    </row>
    <row r="268" spans="1:11" s="4" customFormat="1" x14ac:dyDescent="0.25">
      <c r="A268" s="32"/>
      <c r="B268" s="21"/>
      <c r="C268" s="9" t="s">
        <v>21</v>
      </c>
      <c r="D268" s="17"/>
      <c r="E268" s="9" t="s">
        <v>21</v>
      </c>
      <c r="F268" s="17"/>
      <c r="G268" s="9" t="s">
        <v>21</v>
      </c>
      <c r="H268" s="17"/>
      <c r="I268" s="22"/>
      <c r="J268" s="28"/>
      <c r="K268" s="22"/>
    </row>
    <row r="269" spans="1:11" s="4" customFormat="1" x14ac:dyDescent="0.25">
      <c r="A269" s="32"/>
      <c r="B269" s="21"/>
      <c r="C269" s="12" t="s">
        <v>22</v>
      </c>
      <c r="D269" s="17">
        <v>0</v>
      </c>
      <c r="E269" s="12" t="s">
        <v>22</v>
      </c>
      <c r="F269" s="17">
        <v>0</v>
      </c>
      <c r="G269" s="12" t="s">
        <v>22</v>
      </c>
      <c r="H269" s="17">
        <v>0</v>
      </c>
      <c r="I269" s="22"/>
      <c r="J269" s="28"/>
      <c r="K269" s="22"/>
    </row>
    <row r="270" spans="1:11" s="4" customFormat="1" x14ac:dyDescent="0.25">
      <c r="A270" s="32"/>
      <c r="B270" s="21"/>
      <c r="C270" s="12" t="s">
        <v>23</v>
      </c>
      <c r="D270" s="17">
        <v>0</v>
      </c>
      <c r="E270" s="12" t="s">
        <v>23</v>
      </c>
      <c r="F270" s="17">
        <v>0</v>
      </c>
      <c r="G270" s="12" t="s">
        <v>23</v>
      </c>
      <c r="H270" s="17">
        <v>0</v>
      </c>
      <c r="I270" s="22"/>
      <c r="J270" s="28"/>
      <c r="K270" s="22"/>
    </row>
    <row r="271" spans="1:11" s="4" customFormat="1" x14ac:dyDescent="0.25">
      <c r="A271" s="32"/>
      <c r="B271" s="21"/>
      <c r="C271" s="12" t="s">
        <v>24</v>
      </c>
      <c r="D271" s="17">
        <f>280000/1000</f>
        <v>280</v>
      </c>
      <c r="E271" s="12" t="s">
        <v>24</v>
      </c>
      <c r="F271" s="17">
        <v>0</v>
      </c>
      <c r="G271" s="12" t="s">
        <v>24</v>
      </c>
      <c r="H271" s="17">
        <v>0</v>
      </c>
      <c r="I271" s="22"/>
      <c r="J271" s="28"/>
      <c r="K271" s="22"/>
    </row>
    <row r="272" spans="1:11" s="4" customFormat="1" x14ac:dyDescent="0.25">
      <c r="A272" s="32"/>
      <c r="B272" s="21"/>
      <c r="C272" s="12" t="s">
        <v>25</v>
      </c>
      <c r="D272" s="17">
        <v>0</v>
      </c>
      <c r="E272" s="12" t="s">
        <v>25</v>
      </c>
      <c r="F272" s="17">
        <v>0</v>
      </c>
      <c r="G272" s="12" t="s">
        <v>25</v>
      </c>
      <c r="H272" s="17">
        <v>0</v>
      </c>
      <c r="I272" s="22"/>
      <c r="J272" s="28"/>
      <c r="K272" s="22"/>
    </row>
    <row r="273" spans="1:11" s="4" customFormat="1" x14ac:dyDescent="0.25">
      <c r="A273" s="32" t="s">
        <v>114</v>
      </c>
      <c r="B273" s="21" t="s">
        <v>95</v>
      </c>
      <c r="C273" s="9" t="s">
        <v>28</v>
      </c>
      <c r="D273" s="17">
        <f>D275+D276+D277+D278</f>
        <v>0</v>
      </c>
      <c r="E273" s="9" t="s">
        <v>28</v>
      </c>
      <c r="F273" s="17">
        <f>F275+F276+F277+F278</f>
        <v>3457.76</v>
      </c>
      <c r="G273" s="9" t="s">
        <v>28</v>
      </c>
      <c r="H273" s="17">
        <f>H275+H276+H277+H278</f>
        <v>0</v>
      </c>
      <c r="I273" s="22" t="s">
        <v>104</v>
      </c>
      <c r="J273" s="28"/>
      <c r="K273" s="22" t="s">
        <v>30</v>
      </c>
    </row>
    <row r="274" spans="1:11" s="4" customFormat="1" x14ac:dyDescent="0.25">
      <c r="A274" s="32"/>
      <c r="B274" s="21"/>
      <c r="C274" s="9" t="s">
        <v>21</v>
      </c>
      <c r="D274" s="17"/>
      <c r="E274" s="9" t="s">
        <v>21</v>
      </c>
      <c r="F274" s="17"/>
      <c r="G274" s="9" t="s">
        <v>21</v>
      </c>
      <c r="H274" s="17"/>
      <c r="I274" s="22"/>
      <c r="J274" s="28"/>
      <c r="K274" s="22"/>
    </row>
    <row r="275" spans="1:11" s="4" customFormat="1" x14ac:dyDescent="0.25">
      <c r="A275" s="32"/>
      <c r="B275" s="21"/>
      <c r="C275" s="12" t="s">
        <v>22</v>
      </c>
      <c r="D275" s="17">
        <v>0</v>
      </c>
      <c r="E275" s="12" t="s">
        <v>22</v>
      </c>
      <c r="F275" s="17">
        <v>0</v>
      </c>
      <c r="G275" s="12" t="s">
        <v>22</v>
      </c>
      <c r="H275" s="17">
        <v>0</v>
      </c>
      <c r="I275" s="22"/>
      <c r="J275" s="28"/>
      <c r="K275" s="22"/>
    </row>
    <row r="276" spans="1:11" s="4" customFormat="1" x14ac:dyDescent="0.25">
      <c r="A276" s="32"/>
      <c r="B276" s="21"/>
      <c r="C276" s="12" t="s">
        <v>23</v>
      </c>
      <c r="D276" s="17">
        <v>0</v>
      </c>
      <c r="E276" s="12" t="s">
        <v>23</v>
      </c>
      <c r="F276" s="17">
        <v>0</v>
      </c>
      <c r="G276" s="12" t="s">
        <v>23</v>
      </c>
      <c r="H276" s="17">
        <v>0</v>
      </c>
      <c r="I276" s="22"/>
      <c r="J276" s="28"/>
      <c r="K276" s="22"/>
    </row>
    <row r="277" spans="1:11" s="4" customFormat="1" x14ac:dyDescent="0.25">
      <c r="A277" s="32"/>
      <c r="B277" s="21"/>
      <c r="C277" s="12" t="s">
        <v>24</v>
      </c>
      <c r="D277" s="17">
        <v>0</v>
      </c>
      <c r="E277" s="12" t="s">
        <v>24</v>
      </c>
      <c r="F277" s="17">
        <v>3457.76</v>
      </c>
      <c r="G277" s="12" t="s">
        <v>24</v>
      </c>
      <c r="H277" s="17">
        <v>0</v>
      </c>
      <c r="I277" s="22"/>
      <c r="J277" s="28"/>
      <c r="K277" s="22"/>
    </row>
    <row r="278" spans="1:11" s="4" customFormat="1" x14ac:dyDescent="0.25">
      <c r="A278" s="32"/>
      <c r="B278" s="21"/>
      <c r="C278" s="12" t="s">
        <v>25</v>
      </c>
      <c r="D278" s="17">
        <v>0</v>
      </c>
      <c r="E278" s="12" t="s">
        <v>25</v>
      </c>
      <c r="F278" s="17">
        <v>0</v>
      </c>
      <c r="G278" s="12" t="s">
        <v>25</v>
      </c>
      <c r="H278" s="17">
        <v>0</v>
      </c>
      <c r="I278" s="22"/>
      <c r="J278" s="28"/>
      <c r="K278" s="22"/>
    </row>
    <row r="279" spans="1:11" s="4" customFormat="1" x14ac:dyDescent="0.25">
      <c r="A279" s="32" t="s">
        <v>115</v>
      </c>
      <c r="B279" s="36" t="s">
        <v>116</v>
      </c>
      <c r="C279" s="9" t="s">
        <v>28</v>
      </c>
      <c r="D279" s="17">
        <f>D285+D291</f>
        <v>2569.7043899999999</v>
      </c>
      <c r="E279" s="9" t="s">
        <v>28</v>
      </c>
      <c r="F279" s="17">
        <f>F285+F291</f>
        <v>0</v>
      </c>
      <c r="G279" s="9" t="s">
        <v>28</v>
      </c>
      <c r="H279" s="17">
        <f>H285+H291</f>
        <v>0</v>
      </c>
      <c r="I279" s="22" t="s">
        <v>100</v>
      </c>
      <c r="J279" s="28"/>
      <c r="K279" s="22" t="s">
        <v>30</v>
      </c>
    </row>
    <row r="280" spans="1:11" s="4" customFormat="1" x14ac:dyDescent="0.25">
      <c r="A280" s="32"/>
      <c r="B280" s="37"/>
      <c r="C280" s="9" t="s">
        <v>21</v>
      </c>
      <c r="D280" s="17"/>
      <c r="E280" s="9" t="s">
        <v>21</v>
      </c>
      <c r="F280" s="17"/>
      <c r="G280" s="9" t="s">
        <v>21</v>
      </c>
      <c r="H280" s="17"/>
      <c r="I280" s="22"/>
      <c r="J280" s="28"/>
      <c r="K280" s="22"/>
    </row>
    <row r="281" spans="1:11" s="4" customFormat="1" x14ac:dyDescent="0.25">
      <c r="A281" s="32"/>
      <c r="B281" s="37"/>
      <c r="C281" s="12" t="s">
        <v>22</v>
      </c>
      <c r="D281" s="17">
        <f t="shared" ref="D281:D284" si="16">D287+D293</f>
        <v>0</v>
      </c>
      <c r="E281" s="12" t="s">
        <v>22</v>
      </c>
      <c r="F281" s="17">
        <f t="shared" ref="F281:F284" si="17">F287+F293</f>
        <v>0</v>
      </c>
      <c r="G281" s="12" t="s">
        <v>22</v>
      </c>
      <c r="H281" s="17">
        <f t="shared" ref="H281:H284" si="18">H287+H293</f>
        <v>0</v>
      </c>
      <c r="I281" s="22"/>
      <c r="J281" s="28"/>
      <c r="K281" s="22"/>
    </row>
    <row r="282" spans="1:11" s="4" customFormat="1" x14ac:dyDescent="0.25">
      <c r="A282" s="32"/>
      <c r="B282" s="37"/>
      <c r="C282" s="12" t="s">
        <v>23</v>
      </c>
      <c r="D282" s="17">
        <f>D288+D294</f>
        <v>2080.3743899999999</v>
      </c>
      <c r="E282" s="12" t="s">
        <v>23</v>
      </c>
      <c r="F282" s="17">
        <f t="shared" si="17"/>
        <v>0</v>
      </c>
      <c r="G282" s="12" t="s">
        <v>23</v>
      </c>
      <c r="H282" s="17">
        <f t="shared" si="18"/>
        <v>0</v>
      </c>
      <c r="I282" s="22"/>
      <c r="J282" s="28"/>
      <c r="K282" s="22"/>
    </row>
    <row r="283" spans="1:11" s="4" customFormat="1" x14ac:dyDescent="0.25">
      <c r="A283" s="32"/>
      <c r="B283" s="37"/>
      <c r="C283" s="12" t="s">
        <v>24</v>
      </c>
      <c r="D283" s="17">
        <f>D289+D295</f>
        <v>489.33</v>
      </c>
      <c r="E283" s="12" t="s">
        <v>24</v>
      </c>
      <c r="F283" s="17">
        <f t="shared" si="17"/>
        <v>0</v>
      </c>
      <c r="G283" s="12" t="s">
        <v>24</v>
      </c>
      <c r="H283" s="17">
        <f t="shared" si="18"/>
        <v>0</v>
      </c>
      <c r="I283" s="22"/>
      <c r="J283" s="28"/>
      <c r="K283" s="22"/>
    </row>
    <row r="284" spans="1:11" s="4" customFormat="1" x14ac:dyDescent="0.25">
      <c r="A284" s="32"/>
      <c r="B284" s="38"/>
      <c r="C284" s="12" t="s">
        <v>25</v>
      </c>
      <c r="D284" s="17">
        <f t="shared" si="16"/>
        <v>0</v>
      </c>
      <c r="E284" s="12" t="s">
        <v>25</v>
      </c>
      <c r="F284" s="17">
        <f t="shared" si="17"/>
        <v>0</v>
      </c>
      <c r="G284" s="12" t="s">
        <v>25</v>
      </c>
      <c r="H284" s="17">
        <f t="shared" si="18"/>
        <v>0</v>
      </c>
      <c r="I284" s="22"/>
      <c r="J284" s="28"/>
      <c r="K284" s="22"/>
    </row>
    <row r="285" spans="1:11" s="4" customFormat="1" x14ac:dyDescent="0.25">
      <c r="A285" s="32" t="s">
        <v>117</v>
      </c>
      <c r="B285" s="21" t="s">
        <v>118</v>
      </c>
      <c r="C285" s="9" t="s">
        <v>28</v>
      </c>
      <c r="D285" s="17">
        <f>D287+D288+D289+D290</f>
        <v>2569.7043899999999</v>
      </c>
      <c r="E285" s="9" t="s">
        <v>28</v>
      </c>
      <c r="F285" s="17">
        <f>F287+F288+F289+F290</f>
        <v>0</v>
      </c>
      <c r="G285" s="9" t="s">
        <v>28</v>
      </c>
      <c r="H285" s="17">
        <f>H287+H288+H289+H290</f>
        <v>0</v>
      </c>
      <c r="I285" s="22" t="s">
        <v>100</v>
      </c>
      <c r="J285" s="28"/>
      <c r="K285" s="22" t="s">
        <v>30</v>
      </c>
    </row>
    <row r="286" spans="1:11" s="4" customFormat="1" x14ac:dyDescent="0.25">
      <c r="A286" s="32"/>
      <c r="B286" s="21"/>
      <c r="C286" s="9" t="s">
        <v>21</v>
      </c>
      <c r="D286" s="17"/>
      <c r="E286" s="9" t="s">
        <v>21</v>
      </c>
      <c r="F286" s="17"/>
      <c r="G286" s="9" t="s">
        <v>21</v>
      </c>
      <c r="H286" s="17"/>
      <c r="I286" s="22"/>
      <c r="J286" s="28"/>
      <c r="K286" s="22"/>
    </row>
    <row r="287" spans="1:11" s="4" customFormat="1" x14ac:dyDescent="0.25">
      <c r="A287" s="32"/>
      <c r="B287" s="21"/>
      <c r="C287" s="12" t="s">
        <v>22</v>
      </c>
      <c r="D287" s="17">
        <v>0</v>
      </c>
      <c r="E287" s="12" t="s">
        <v>22</v>
      </c>
      <c r="F287" s="17">
        <v>0</v>
      </c>
      <c r="G287" s="12" t="s">
        <v>22</v>
      </c>
      <c r="H287" s="17">
        <v>0</v>
      </c>
      <c r="I287" s="22"/>
      <c r="J287" s="28"/>
      <c r="K287" s="22"/>
    </row>
    <row r="288" spans="1:11" s="4" customFormat="1" x14ac:dyDescent="0.25">
      <c r="A288" s="32"/>
      <c r="B288" s="21"/>
      <c r="C288" s="12" t="s">
        <v>23</v>
      </c>
      <c r="D288" s="17">
        <f>2080374.39/1000</f>
        <v>2080.3743899999999</v>
      </c>
      <c r="E288" s="12" t="s">
        <v>23</v>
      </c>
      <c r="F288" s="17">
        <v>0</v>
      </c>
      <c r="G288" s="12" t="s">
        <v>23</v>
      </c>
      <c r="H288" s="17">
        <v>0</v>
      </c>
      <c r="I288" s="22"/>
      <c r="J288" s="28"/>
      <c r="K288" s="22"/>
    </row>
    <row r="289" spans="1:11" s="4" customFormat="1" x14ac:dyDescent="0.25">
      <c r="A289" s="32"/>
      <c r="B289" s="21"/>
      <c r="C289" s="12" t="s">
        <v>24</v>
      </c>
      <c r="D289" s="17">
        <v>489.33</v>
      </c>
      <c r="E289" s="12" t="s">
        <v>24</v>
      </c>
      <c r="F289" s="17">
        <v>0</v>
      </c>
      <c r="G289" s="12" t="s">
        <v>24</v>
      </c>
      <c r="H289" s="17">
        <v>0</v>
      </c>
      <c r="I289" s="22"/>
      <c r="J289" s="28"/>
      <c r="K289" s="22"/>
    </row>
    <row r="290" spans="1:11" s="4" customFormat="1" x14ac:dyDescent="0.25">
      <c r="A290" s="32"/>
      <c r="B290" s="21"/>
      <c r="C290" s="12" t="s">
        <v>25</v>
      </c>
      <c r="D290" s="17">
        <v>0</v>
      </c>
      <c r="E290" s="12" t="s">
        <v>25</v>
      </c>
      <c r="F290" s="17">
        <v>0</v>
      </c>
      <c r="G290" s="12" t="s">
        <v>25</v>
      </c>
      <c r="H290" s="17">
        <v>0</v>
      </c>
      <c r="I290" s="22"/>
      <c r="J290" s="28"/>
      <c r="K290" s="22"/>
    </row>
    <row r="291" spans="1:11" s="4" customFormat="1" x14ac:dyDescent="0.25">
      <c r="A291" s="32" t="s">
        <v>119</v>
      </c>
      <c r="B291" s="21" t="s">
        <v>95</v>
      </c>
      <c r="C291" s="9" t="s">
        <v>28</v>
      </c>
      <c r="D291" s="17">
        <f>D293+D294+D295+D296</f>
        <v>0</v>
      </c>
      <c r="E291" s="9" t="s">
        <v>28</v>
      </c>
      <c r="F291" s="17">
        <f>F293+F294+F295+F296</f>
        <v>0</v>
      </c>
      <c r="G291" s="9" t="s">
        <v>28</v>
      </c>
      <c r="H291" s="17">
        <f>H293+H294+H295+H296</f>
        <v>0</v>
      </c>
      <c r="I291" s="22" t="s">
        <v>104</v>
      </c>
      <c r="J291" s="28"/>
      <c r="K291" s="22" t="s">
        <v>30</v>
      </c>
    </row>
    <row r="292" spans="1:11" s="4" customFormat="1" x14ac:dyDescent="0.25">
      <c r="A292" s="32"/>
      <c r="B292" s="21"/>
      <c r="C292" s="9" t="s">
        <v>21</v>
      </c>
      <c r="D292" s="17"/>
      <c r="E292" s="9" t="s">
        <v>21</v>
      </c>
      <c r="F292" s="17"/>
      <c r="G292" s="9" t="s">
        <v>21</v>
      </c>
      <c r="H292" s="17"/>
      <c r="I292" s="22"/>
      <c r="J292" s="28"/>
      <c r="K292" s="22"/>
    </row>
    <row r="293" spans="1:11" s="4" customFormat="1" x14ac:dyDescent="0.25">
      <c r="A293" s="32"/>
      <c r="B293" s="21"/>
      <c r="C293" s="12" t="s">
        <v>22</v>
      </c>
      <c r="D293" s="17">
        <v>0</v>
      </c>
      <c r="E293" s="12" t="s">
        <v>22</v>
      </c>
      <c r="F293" s="17">
        <v>0</v>
      </c>
      <c r="G293" s="12" t="s">
        <v>22</v>
      </c>
      <c r="H293" s="17">
        <v>0</v>
      </c>
      <c r="I293" s="22"/>
      <c r="J293" s="28"/>
      <c r="K293" s="22"/>
    </row>
    <row r="294" spans="1:11" s="4" customFormat="1" x14ac:dyDescent="0.25">
      <c r="A294" s="32"/>
      <c r="B294" s="21"/>
      <c r="C294" s="12" t="s">
        <v>23</v>
      </c>
      <c r="D294" s="17">
        <v>0</v>
      </c>
      <c r="E294" s="12" t="s">
        <v>23</v>
      </c>
      <c r="F294" s="17">
        <v>0</v>
      </c>
      <c r="G294" s="12" t="s">
        <v>23</v>
      </c>
      <c r="H294" s="17">
        <v>0</v>
      </c>
      <c r="I294" s="22"/>
      <c r="J294" s="28"/>
      <c r="K294" s="22"/>
    </row>
    <row r="295" spans="1:11" s="4" customFormat="1" x14ac:dyDescent="0.25">
      <c r="A295" s="32"/>
      <c r="B295" s="21"/>
      <c r="C295" s="12" t="s">
        <v>24</v>
      </c>
      <c r="D295" s="17">
        <v>0</v>
      </c>
      <c r="E295" s="12" t="s">
        <v>24</v>
      </c>
      <c r="F295" s="17">
        <v>0</v>
      </c>
      <c r="G295" s="12" t="s">
        <v>24</v>
      </c>
      <c r="H295" s="17">
        <v>0</v>
      </c>
      <c r="I295" s="22"/>
      <c r="J295" s="28"/>
      <c r="K295" s="22"/>
    </row>
    <row r="296" spans="1:11" s="4" customFormat="1" x14ac:dyDescent="0.25">
      <c r="A296" s="32"/>
      <c r="B296" s="21"/>
      <c r="C296" s="12" t="s">
        <v>25</v>
      </c>
      <c r="D296" s="17">
        <v>0</v>
      </c>
      <c r="E296" s="12" t="s">
        <v>25</v>
      </c>
      <c r="F296" s="17">
        <v>0</v>
      </c>
      <c r="G296" s="12" t="s">
        <v>25</v>
      </c>
      <c r="H296" s="17">
        <v>0</v>
      </c>
      <c r="I296" s="22"/>
      <c r="J296" s="28"/>
      <c r="K296" s="22"/>
    </row>
    <row r="297" spans="1:11" s="4" customFormat="1" x14ac:dyDescent="0.25">
      <c r="A297" s="32" t="s">
        <v>120</v>
      </c>
      <c r="B297" s="36" t="s">
        <v>121</v>
      </c>
      <c r="C297" s="9" t="s">
        <v>28</v>
      </c>
      <c r="D297" s="17">
        <f>D303+D309</f>
        <v>404.24530000000004</v>
      </c>
      <c r="E297" s="9" t="s">
        <v>28</v>
      </c>
      <c r="F297" s="17">
        <f>F303+F309</f>
        <v>0</v>
      </c>
      <c r="G297" s="9" t="s">
        <v>28</v>
      </c>
      <c r="H297" s="17">
        <f>H303+H309</f>
        <v>0</v>
      </c>
      <c r="I297" s="22" t="s">
        <v>100</v>
      </c>
      <c r="J297" s="28"/>
      <c r="K297" s="22" t="s">
        <v>30</v>
      </c>
    </row>
    <row r="298" spans="1:11" s="4" customFormat="1" x14ac:dyDescent="0.25">
      <c r="A298" s="32"/>
      <c r="B298" s="37"/>
      <c r="C298" s="9" t="s">
        <v>21</v>
      </c>
      <c r="D298" s="17"/>
      <c r="E298" s="9" t="s">
        <v>21</v>
      </c>
      <c r="F298" s="17"/>
      <c r="G298" s="9" t="s">
        <v>21</v>
      </c>
      <c r="H298" s="17"/>
      <c r="I298" s="22"/>
      <c r="J298" s="28"/>
      <c r="K298" s="22"/>
    </row>
    <row r="299" spans="1:11" s="4" customFormat="1" x14ac:dyDescent="0.25">
      <c r="A299" s="32"/>
      <c r="B299" s="37"/>
      <c r="C299" s="12" t="s">
        <v>22</v>
      </c>
      <c r="D299" s="17">
        <f t="shared" ref="D299:D302" si="19">D305+D311</f>
        <v>0</v>
      </c>
      <c r="E299" s="12" t="s">
        <v>22</v>
      </c>
      <c r="F299" s="17">
        <f t="shared" ref="F299:F302" si="20">F305+F311</f>
        <v>0</v>
      </c>
      <c r="G299" s="12" t="s">
        <v>22</v>
      </c>
      <c r="H299" s="17">
        <f t="shared" ref="H299:H302" si="21">H305+H311</f>
        <v>0</v>
      </c>
      <c r="I299" s="22"/>
      <c r="J299" s="28"/>
      <c r="K299" s="22"/>
    </row>
    <row r="300" spans="1:11" s="4" customFormat="1" x14ac:dyDescent="0.25">
      <c r="A300" s="32"/>
      <c r="B300" s="37"/>
      <c r="C300" s="12" t="s">
        <v>23</v>
      </c>
      <c r="D300" s="17">
        <f>D306+D312</f>
        <v>343.76530000000002</v>
      </c>
      <c r="E300" s="12" t="s">
        <v>23</v>
      </c>
      <c r="F300" s="17">
        <f t="shared" si="20"/>
        <v>0</v>
      </c>
      <c r="G300" s="12" t="s">
        <v>23</v>
      </c>
      <c r="H300" s="17">
        <f t="shared" si="21"/>
        <v>0</v>
      </c>
      <c r="I300" s="22"/>
      <c r="J300" s="28"/>
      <c r="K300" s="22"/>
    </row>
    <row r="301" spans="1:11" s="4" customFormat="1" x14ac:dyDescent="0.25">
      <c r="A301" s="32"/>
      <c r="B301" s="37"/>
      <c r="C301" s="12" t="s">
        <v>24</v>
      </c>
      <c r="D301" s="17">
        <f>D307+D313</f>
        <v>60.48</v>
      </c>
      <c r="E301" s="12" t="s">
        <v>24</v>
      </c>
      <c r="F301" s="17">
        <f t="shared" si="20"/>
        <v>0</v>
      </c>
      <c r="G301" s="12" t="s">
        <v>24</v>
      </c>
      <c r="H301" s="17">
        <f t="shared" si="21"/>
        <v>0</v>
      </c>
      <c r="I301" s="22"/>
      <c r="J301" s="28"/>
      <c r="K301" s="22"/>
    </row>
    <row r="302" spans="1:11" s="4" customFormat="1" x14ac:dyDescent="0.25">
      <c r="A302" s="32"/>
      <c r="B302" s="38"/>
      <c r="C302" s="12" t="s">
        <v>25</v>
      </c>
      <c r="D302" s="17">
        <f t="shared" si="19"/>
        <v>0</v>
      </c>
      <c r="E302" s="12" t="s">
        <v>25</v>
      </c>
      <c r="F302" s="17">
        <f t="shared" si="20"/>
        <v>0</v>
      </c>
      <c r="G302" s="12" t="s">
        <v>25</v>
      </c>
      <c r="H302" s="17">
        <f t="shared" si="21"/>
        <v>0</v>
      </c>
      <c r="I302" s="22"/>
      <c r="J302" s="28"/>
      <c r="K302" s="22"/>
    </row>
    <row r="303" spans="1:11" s="4" customFormat="1" x14ac:dyDescent="0.25">
      <c r="A303" s="32" t="s">
        <v>122</v>
      </c>
      <c r="B303" s="21" t="s">
        <v>123</v>
      </c>
      <c r="C303" s="9" t="s">
        <v>28</v>
      </c>
      <c r="D303" s="17">
        <f>D305+D306+D307+D308</f>
        <v>404.24530000000004</v>
      </c>
      <c r="E303" s="9" t="s">
        <v>28</v>
      </c>
      <c r="F303" s="17">
        <f>F305+F306+F307+F308</f>
        <v>0</v>
      </c>
      <c r="G303" s="9" t="s">
        <v>28</v>
      </c>
      <c r="H303" s="17">
        <f>H305+H306+H307+H308</f>
        <v>0</v>
      </c>
      <c r="I303" s="22" t="s">
        <v>100</v>
      </c>
      <c r="J303" s="28"/>
      <c r="K303" s="22" t="s">
        <v>30</v>
      </c>
    </row>
    <row r="304" spans="1:11" s="4" customFormat="1" x14ac:dyDescent="0.25">
      <c r="A304" s="32"/>
      <c r="B304" s="21"/>
      <c r="C304" s="9" t="s">
        <v>21</v>
      </c>
      <c r="D304" s="17"/>
      <c r="E304" s="9" t="s">
        <v>21</v>
      </c>
      <c r="F304" s="17"/>
      <c r="G304" s="9" t="s">
        <v>21</v>
      </c>
      <c r="H304" s="17"/>
      <c r="I304" s="22"/>
      <c r="J304" s="28"/>
      <c r="K304" s="22"/>
    </row>
    <row r="305" spans="1:11" s="4" customFormat="1" x14ac:dyDescent="0.25">
      <c r="A305" s="32"/>
      <c r="B305" s="21"/>
      <c r="C305" s="12" t="s">
        <v>22</v>
      </c>
      <c r="D305" s="17">
        <v>0</v>
      </c>
      <c r="E305" s="12" t="s">
        <v>22</v>
      </c>
      <c r="F305" s="17">
        <v>0</v>
      </c>
      <c r="G305" s="12" t="s">
        <v>22</v>
      </c>
      <c r="H305" s="17">
        <v>0</v>
      </c>
      <c r="I305" s="22"/>
      <c r="J305" s="28"/>
      <c r="K305" s="22"/>
    </row>
    <row r="306" spans="1:11" s="4" customFormat="1" x14ac:dyDescent="0.25">
      <c r="A306" s="32"/>
      <c r="B306" s="21"/>
      <c r="C306" s="12" t="s">
        <v>23</v>
      </c>
      <c r="D306" s="17">
        <f>343775.3/1000-0.01</f>
        <v>343.76530000000002</v>
      </c>
      <c r="E306" s="12" t="s">
        <v>23</v>
      </c>
      <c r="F306" s="17">
        <v>0</v>
      </c>
      <c r="G306" s="12" t="s">
        <v>23</v>
      </c>
      <c r="H306" s="17">
        <v>0</v>
      </c>
      <c r="I306" s="22"/>
      <c r="J306" s="28"/>
      <c r="K306" s="22"/>
    </row>
    <row r="307" spans="1:11" s="4" customFormat="1" x14ac:dyDescent="0.25">
      <c r="A307" s="32"/>
      <c r="B307" s="21"/>
      <c r="C307" s="12" t="s">
        <v>24</v>
      </c>
      <c r="D307" s="17">
        <v>60.48</v>
      </c>
      <c r="E307" s="12" t="s">
        <v>24</v>
      </c>
      <c r="F307" s="17">
        <v>0</v>
      </c>
      <c r="G307" s="12" t="s">
        <v>24</v>
      </c>
      <c r="H307" s="17">
        <v>0</v>
      </c>
      <c r="I307" s="22"/>
      <c r="J307" s="28"/>
      <c r="K307" s="22"/>
    </row>
    <row r="308" spans="1:11" s="4" customFormat="1" x14ac:dyDescent="0.25">
      <c r="A308" s="32"/>
      <c r="B308" s="21"/>
      <c r="C308" s="12" t="s">
        <v>25</v>
      </c>
      <c r="D308" s="17">
        <v>0</v>
      </c>
      <c r="E308" s="12" t="s">
        <v>25</v>
      </c>
      <c r="F308" s="17">
        <v>0</v>
      </c>
      <c r="G308" s="12" t="s">
        <v>25</v>
      </c>
      <c r="H308" s="17">
        <v>0</v>
      </c>
      <c r="I308" s="22"/>
      <c r="J308" s="28"/>
      <c r="K308" s="22"/>
    </row>
    <row r="309" spans="1:11" s="4" customFormat="1" x14ac:dyDescent="0.25">
      <c r="A309" s="32" t="s">
        <v>124</v>
      </c>
      <c r="B309" s="21" t="s">
        <v>95</v>
      </c>
      <c r="C309" s="9" t="s">
        <v>28</v>
      </c>
      <c r="D309" s="17">
        <f>D311+D312+D313+D314</f>
        <v>0</v>
      </c>
      <c r="E309" s="9" t="s">
        <v>28</v>
      </c>
      <c r="F309" s="17">
        <f>F311+F312+F313+F314</f>
        <v>0</v>
      </c>
      <c r="G309" s="9" t="s">
        <v>28</v>
      </c>
      <c r="H309" s="17">
        <f>H311+H312+H313+H314</f>
        <v>0</v>
      </c>
      <c r="I309" s="22" t="s">
        <v>104</v>
      </c>
      <c r="J309" s="28"/>
      <c r="K309" s="22" t="s">
        <v>30</v>
      </c>
    </row>
    <row r="310" spans="1:11" s="4" customFormat="1" x14ac:dyDescent="0.25">
      <c r="A310" s="32"/>
      <c r="B310" s="21"/>
      <c r="C310" s="9" t="s">
        <v>21</v>
      </c>
      <c r="D310" s="17"/>
      <c r="E310" s="9" t="s">
        <v>21</v>
      </c>
      <c r="F310" s="17"/>
      <c r="G310" s="9" t="s">
        <v>21</v>
      </c>
      <c r="H310" s="17"/>
      <c r="I310" s="22"/>
      <c r="J310" s="28"/>
      <c r="K310" s="22"/>
    </row>
    <row r="311" spans="1:11" s="4" customFormat="1" x14ac:dyDescent="0.25">
      <c r="A311" s="32"/>
      <c r="B311" s="21"/>
      <c r="C311" s="12" t="s">
        <v>22</v>
      </c>
      <c r="D311" s="17">
        <v>0</v>
      </c>
      <c r="E311" s="12" t="s">
        <v>22</v>
      </c>
      <c r="F311" s="17">
        <v>0</v>
      </c>
      <c r="G311" s="12" t="s">
        <v>22</v>
      </c>
      <c r="H311" s="17">
        <v>0</v>
      </c>
      <c r="I311" s="22"/>
      <c r="J311" s="28"/>
      <c r="K311" s="22"/>
    </row>
    <row r="312" spans="1:11" s="4" customFormat="1" x14ac:dyDescent="0.25">
      <c r="A312" s="32"/>
      <c r="B312" s="21"/>
      <c r="C312" s="12" t="s">
        <v>23</v>
      </c>
      <c r="D312" s="17">
        <v>0</v>
      </c>
      <c r="E312" s="12" t="s">
        <v>23</v>
      </c>
      <c r="F312" s="17">
        <v>0</v>
      </c>
      <c r="G312" s="12" t="s">
        <v>23</v>
      </c>
      <c r="H312" s="17">
        <v>0</v>
      </c>
      <c r="I312" s="22"/>
      <c r="J312" s="28"/>
      <c r="K312" s="22"/>
    </row>
    <row r="313" spans="1:11" s="4" customFormat="1" x14ac:dyDescent="0.25">
      <c r="A313" s="32"/>
      <c r="B313" s="21"/>
      <c r="C313" s="12" t="s">
        <v>24</v>
      </c>
      <c r="D313" s="17">
        <v>0</v>
      </c>
      <c r="E313" s="12" t="s">
        <v>24</v>
      </c>
      <c r="F313" s="17">
        <v>0</v>
      </c>
      <c r="G313" s="12" t="s">
        <v>24</v>
      </c>
      <c r="H313" s="17">
        <v>0</v>
      </c>
      <c r="I313" s="22"/>
      <c r="J313" s="28"/>
      <c r="K313" s="22"/>
    </row>
    <row r="314" spans="1:11" s="4" customFormat="1" x14ac:dyDescent="0.25">
      <c r="A314" s="32"/>
      <c r="B314" s="21"/>
      <c r="C314" s="12" t="s">
        <v>25</v>
      </c>
      <c r="D314" s="17">
        <v>0</v>
      </c>
      <c r="E314" s="12" t="s">
        <v>25</v>
      </c>
      <c r="F314" s="17">
        <v>0</v>
      </c>
      <c r="G314" s="12" t="s">
        <v>25</v>
      </c>
      <c r="H314" s="17">
        <v>0</v>
      </c>
      <c r="I314" s="22"/>
      <c r="J314" s="28"/>
      <c r="K314" s="22"/>
    </row>
    <row r="315" spans="1:11" s="4" customFormat="1" x14ac:dyDescent="0.25">
      <c r="A315" s="32" t="s">
        <v>125</v>
      </c>
      <c r="B315" s="36" t="s">
        <v>126</v>
      </c>
      <c r="C315" s="9" t="s">
        <v>28</v>
      </c>
      <c r="D315" s="17">
        <f>D321+D327</f>
        <v>609.42103999999995</v>
      </c>
      <c r="E315" s="9" t="s">
        <v>28</v>
      </c>
      <c r="F315" s="17">
        <f>F321+F327</f>
        <v>0</v>
      </c>
      <c r="G315" s="9" t="s">
        <v>28</v>
      </c>
      <c r="H315" s="17">
        <f>H321+H327</f>
        <v>0</v>
      </c>
      <c r="I315" s="22" t="s">
        <v>100</v>
      </c>
      <c r="J315" s="28"/>
      <c r="K315" s="22" t="s">
        <v>30</v>
      </c>
    </row>
    <row r="316" spans="1:11" s="4" customFormat="1" x14ac:dyDescent="0.25">
      <c r="A316" s="32"/>
      <c r="B316" s="37"/>
      <c r="C316" s="9" t="s">
        <v>21</v>
      </c>
      <c r="D316" s="17"/>
      <c r="E316" s="9" t="s">
        <v>21</v>
      </c>
      <c r="F316" s="17"/>
      <c r="G316" s="9" t="s">
        <v>21</v>
      </c>
      <c r="H316" s="17"/>
      <c r="I316" s="22"/>
      <c r="J316" s="28"/>
      <c r="K316" s="22"/>
    </row>
    <row r="317" spans="1:11" s="4" customFormat="1" x14ac:dyDescent="0.25">
      <c r="A317" s="32"/>
      <c r="B317" s="37"/>
      <c r="C317" s="12" t="s">
        <v>22</v>
      </c>
      <c r="D317" s="17">
        <f t="shared" ref="D317:D320" si="22">D323+D329</f>
        <v>0</v>
      </c>
      <c r="E317" s="12" t="s">
        <v>22</v>
      </c>
      <c r="F317" s="17">
        <f t="shared" ref="F317:F320" si="23">F323+F329</f>
        <v>0</v>
      </c>
      <c r="G317" s="12" t="s">
        <v>22</v>
      </c>
      <c r="H317" s="17">
        <f t="shared" ref="H317:H320" si="24">H323+H329</f>
        <v>0</v>
      </c>
      <c r="I317" s="22"/>
      <c r="J317" s="28"/>
      <c r="K317" s="22"/>
    </row>
    <row r="318" spans="1:11" s="4" customFormat="1" x14ac:dyDescent="0.25">
      <c r="A318" s="32"/>
      <c r="B318" s="37"/>
      <c r="C318" s="12" t="s">
        <v>23</v>
      </c>
      <c r="D318" s="17">
        <f>D324+D330</f>
        <v>508.81103999999999</v>
      </c>
      <c r="E318" s="12" t="s">
        <v>23</v>
      </c>
      <c r="F318" s="17">
        <f t="shared" si="23"/>
        <v>0</v>
      </c>
      <c r="G318" s="12" t="s">
        <v>23</v>
      </c>
      <c r="H318" s="17">
        <f t="shared" si="24"/>
        <v>0</v>
      </c>
      <c r="I318" s="22"/>
      <c r="J318" s="28"/>
      <c r="K318" s="22"/>
    </row>
    <row r="319" spans="1:11" s="4" customFormat="1" x14ac:dyDescent="0.25">
      <c r="A319" s="32"/>
      <c r="B319" s="37"/>
      <c r="C319" s="12" t="s">
        <v>24</v>
      </c>
      <c r="D319" s="17">
        <f>D325+D331</f>
        <v>100.61</v>
      </c>
      <c r="E319" s="12" t="s">
        <v>24</v>
      </c>
      <c r="F319" s="17">
        <f t="shared" si="23"/>
        <v>0</v>
      </c>
      <c r="G319" s="12" t="s">
        <v>24</v>
      </c>
      <c r="H319" s="17">
        <f t="shared" si="24"/>
        <v>0</v>
      </c>
      <c r="I319" s="22"/>
      <c r="J319" s="28"/>
      <c r="K319" s="22"/>
    </row>
    <row r="320" spans="1:11" s="4" customFormat="1" x14ac:dyDescent="0.25">
      <c r="A320" s="32"/>
      <c r="B320" s="38"/>
      <c r="C320" s="12" t="s">
        <v>25</v>
      </c>
      <c r="D320" s="17">
        <f t="shared" si="22"/>
        <v>0</v>
      </c>
      <c r="E320" s="12" t="s">
        <v>25</v>
      </c>
      <c r="F320" s="17">
        <f t="shared" si="23"/>
        <v>0</v>
      </c>
      <c r="G320" s="12" t="s">
        <v>25</v>
      </c>
      <c r="H320" s="17">
        <f t="shared" si="24"/>
        <v>0</v>
      </c>
      <c r="I320" s="22"/>
      <c r="J320" s="28"/>
      <c r="K320" s="22"/>
    </row>
    <row r="321" spans="1:11" s="4" customFormat="1" x14ac:dyDescent="0.25">
      <c r="A321" s="32" t="s">
        <v>127</v>
      </c>
      <c r="B321" s="21" t="s">
        <v>128</v>
      </c>
      <c r="C321" s="9" t="s">
        <v>28</v>
      </c>
      <c r="D321" s="17">
        <f>D323+D324+D325+D326</f>
        <v>609.42103999999995</v>
      </c>
      <c r="E321" s="9" t="s">
        <v>28</v>
      </c>
      <c r="F321" s="17">
        <f>F323+F324+F325+F326</f>
        <v>0</v>
      </c>
      <c r="G321" s="9" t="s">
        <v>28</v>
      </c>
      <c r="H321" s="17">
        <f>H323+H324+H325+H326</f>
        <v>0</v>
      </c>
      <c r="I321" s="22" t="s">
        <v>100</v>
      </c>
      <c r="J321" s="28"/>
      <c r="K321" s="22" t="s">
        <v>30</v>
      </c>
    </row>
    <row r="322" spans="1:11" s="4" customFormat="1" x14ac:dyDescent="0.25">
      <c r="A322" s="32"/>
      <c r="B322" s="21"/>
      <c r="C322" s="9" t="s">
        <v>21</v>
      </c>
      <c r="D322" s="17"/>
      <c r="E322" s="9" t="s">
        <v>21</v>
      </c>
      <c r="F322" s="17"/>
      <c r="G322" s="9" t="s">
        <v>21</v>
      </c>
      <c r="H322" s="17"/>
      <c r="I322" s="22"/>
      <c r="J322" s="28"/>
      <c r="K322" s="22"/>
    </row>
    <row r="323" spans="1:11" s="4" customFormat="1" x14ac:dyDescent="0.25">
      <c r="A323" s="32"/>
      <c r="B323" s="21"/>
      <c r="C323" s="12" t="s">
        <v>22</v>
      </c>
      <c r="D323" s="17">
        <v>0</v>
      </c>
      <c r="E323" s="12" t="s">
        <v>22</v>
      </c>
      <c r="F323" s="17">
        <v>0</v>
      </c>
      <c r="G323" s="12" t="s">
        <v>22</v>
      </c>
      <c r="H323" s="17">
        <v>0</v>
      </c>
      <c r="I323" s="22"/>
      <c r="J323" s="28"/>
      <c r="K323" s="22"/>
    </row>
    <row r="324" spans="1:11" s="4" customFormat="1" x14ac:dyDescent="0.25">
      <c r="A324" s="32"/>
      <c r="B324" s="21"/>
      <c r="C324" s="12" t="s">
        <v>23</v>
      </c>
      <c r="D324" s="17">
        <f>508811.04/1000</f>
        <v>508.81103999999999</v>
      </c>
      <c r="E324" s="12" t="s">
        <v>23</v>
      </c>
      <c r="F324" s="17">
        <v>0</v>
      </c>
      <c r="G324" s="12" t="s">
        <v>23</v>
      </c>
      <c r="H324" s="17">
        <v>0</v>
      </c>
      <c r="I324" s="22"/>
      <c r="J324" s="28"/>
      <c r="K324" s="22"/>
    </row>
    <row r="325" spans="1:11" s="4" customFormat="1" x14ac:dyDescent="0.25">
      <c r="A325" s="32"/>
      <c r="B325" s="21"/>
      <c r="C325" s="12" t="s">
        <v>24</v>
      </c>
      <c r="D325" s="17">
        <v>100.61</v>
      </c>
      <c r="E325" s="12" t="s">
        <v>24</v>
      </c>
      <c r="F325" s="17">
        <v>0</v>
      </c>
      <c r="G325" s="12" t="s">
        <v>24</v>
      </c>
      <c r="H325" s="17">
        <v>0</v>
      </c>
      <c r="I325" s="22"/>
      <c r="J325" s="28"/>
      <c r="K325" s="22"/>
    </row>
    <row r="326" spans="1:11" s="4" customFormat="1" x14ac:dyDescent="0.25">
      <c r="A326" s="32"/>
      <c r="B326" s="21"/>
      <c r="C326" s="12" t="s">
        <v>25</v>
      </c>
      <c r="D326" s="17">
        <v>0</v>
      </c>
      <c r="E326" s="12" t="s">
        <v>25</v>
      </c>
      <c r="F326" s="17">
        <v>0</v>
      </c>
      <c r="G326" s="12" t="s">
        <v>25</v>
      </c>
      <c r="H326" s="17">
        <v>0</v>
      </c>
      <c r="I326" s="22"/>
      <c r="J326" s="28"/>
      <c r="K326" s="22"/>
    </row>
    <row r="327" spans="1:11" s="4" customFormat="1" x14ac:dyDescent="0.25">
      <c r="A327" s="32" t="s">
        <v>129</v>
      </c>
      <c r="B327" s="21" t="s">
        <v>95</v>
      </c>
      <c r="C327" s="9" t="s">
        <v>28</v>
      </c>
      <c r="D327" s="17">
        <f>D329+D330+D331+D332</f>
        <v>0</v>
      </c>
      <c r="E327" s="9" t="s">
        <v>28</v>
      </c>
      <c r="F327" s="17">
        <f>F329+F330+F331+F332</f>
        <v>0</v>
      </c>
      <c r="G327" s="9" t="s">
        <v>28</v>
      </c>
      <c r="H327" s="17">
        <f>H329+H330+H331+H332</f>
        <v>0</v>
      </c>
      <c r="I327" s="22" t="s">
        <v>104</v>
      </c>
      <c r="J327" s="28"/>
      <c r="K327" s="22" t="s">
        <v>30</v>
      </c>
    </row>
    <row r="328" spans="1:11" s="4" customFormat="1" x14ac:dyDescent="0.25">
      <c r="A328" s="32"/>
      <c r="B328" s="21"/>
      <c r="C328" s="9" t="s">
        <v>21</v>
      </c>
      <c r="D328" s="17"/>
      <c r="E328" s="9" t="s">
        <v>21</v>
      </c>
      <c r="F328" s="17"/>
      <c r="G328" s="9" t="s">
        <v>21</v>
      </c>
      <c r="H328" s="17"/>
      <c r="I328" s="22"/>
      <c r="J328" s="28"/>
      <c r="K328" s="22"/>
    </row>
    <row r="329" spans="1:11" s="4" customFormat="1" x14ac:dyDescent="0.25">
      <c r="A329" s="32"/>
      <c r="B329" s="21"/>
      <c r="C329" s="12" t="s">
        <v>22</v>
      </c>
      <c r="D329" s="17">
        <v>0</v>
      </c>
      <c r="E329" s="12" t="s">
        <v>22</v>
      </c>
      <c r="F329" s="17">
        <v>0</v>
      </c>
      <c r="G329" s="12" t="s">
        <v>22</v>
      </c>
      <c r="H329" s="17">
        <v>0</v>
      </c>
      <c r="I329" s="22"/>
      <c r="J329" s="28"/>
      <c r="K329" s="22"/>
    </row>
    <row r="330" spans="1:11" s="4" customFormat="1" x14ac:dyDescent="0.25">
      <c r="A330" s="32"/>
      <c r="B330" s="21"/>
      <c r="C330" s="12" t="s">
        <v>23</v>
      </c>
      <c r="D330" s="17">
        <v>0</v>
      </c>
      <c r="E330" s="12" t="s">
        <v>23</v>
      </c>
      <c r="F330" s="17">
        <v>0</v>
      </c>
      <c r="G330" s="12" t="s">
        <v>23</v>
      </c>
      <c r="H330" s="17">
        <v>0</v>
      </c>
      <c r="I330" s="22"/>
      <c r="J330" s="28"/>
      <c r="K330" s="22"/>
    </row>
    <row r="331" spans="1:11" s="4" customFormat="1" x14ac:dyDescent="0.25">
      <c r="A331" s="32"/>
      <c r="B331" s="21"/>
      <c r="C331" s="12" t="s">
        <v>24</v>
      </c>
      <c r="D331" s="17">
        <v>0</v>
      </c>
      <c r="E331" s="12" t="s">
        <v>24</v>
      </c>
      <c r="F331" s="17">
        <v>0</v>
      </c>
      <c r="G331" s="12" t="s">
        <v>24</v>
      </c>
      <c r="H331" s="17">
        <v>0</v>
      </c>
      <c r="I331" s="22"/>
      <c r="J331" s="28"/>
      <c r="K331" s="22"/>
    </row>
    <row r="332" spans="1:11" s="4" customFormat="1" x14ac:dyDescent="0.25">
      <c r="A332" s="32"/>
      <c r="B332" s="21"/>
      <c r="C332" s="12" t="s">
        <v>25</v>
      </c>
      <c r="D332" s="17">
        <v>0</v>
      </c>
      <c r="E332" s="12" t="s">
        <v>25</v>
      </c>
      <c r="F332" s="17">
        <v>0</v>
      </c>
      <c r="G332" s="12" t="s">
        <v>25</v>
      </c>
      <c r="H332" s="17">
        <v>0</v>
      </c>
      <c r="I332" s="22"/>
      <c r="J332" s="28"/>
      <c r="K332" s="22"/>
    </row>
    <row r="333" spans="1:11" s="4" customFormat="1" x14ac:dyDescent="0.25">
      <c r="A333" s="39" t="s">
        <v>130</v>
      </c>
      <c r="B333" s="36" t="s">
        <v>131</v>
      </c>
      <c r="C333" s="9" t="s">
        <v>28</v>
      </c>
      <c r="D333" s="17">
        <f>D335+D336+D337+D338</f>
        <v>118</v>
      </c>
      <c r="E333" s="9" t="s">
        <v>28</v>
      </c>
      <c r="F333" s="17">
        <f>F335+F336+F337+F338</f>
        <v>0</v>
      </c>
      <c r="G333" s="9" t="s">
        <v>28</v>
      </c>
      <c r="H333" s="17">
        <f>H335+H336+H337+H338</f>
        <v>0</v>
      </c>
      <c r="I333" s="22" t="s">
        <v>104</v>
      </c>
      <c r="J333" s="28"/>
      <c r="K333" s="22" t="s">
        <v>30</v>
      </c>
    </row>
    <row r="334" spans="1:11" s="4" customFormat="1" x14ac:dyDescent="0.25">
      <c r="A334" s="40"/>
      <c r="B334" s="37"/>
      <c r="C334" s="9" t="s">
        <v>21</v>
      </c>
      <c r="D334" s="17"/>
      <c r="E334" s="9" t="s">
        <v>21</v>
      </c>
      <c r="F334" s="17"/>
      <c r="G334" s="9" t="s">
        <v>21</v>
      </c>
      <c r="H334" s="17"/>
      <c r="I334" s="22"/>
      <c r="J334" s="28"/>
      <c r="K334" s="22"/>
    </row>
    <row r="335" spans="1:11" s="4" customFormat="1" x14ac:dyDescent="0.25">
      <c r="A335" s="40"/>
      <c r="B335" s="37"/>
      <c r="C335" s="12" t="s">
        <v>22</v>
      </c>
      <c r="D335" s="17">
        <f t="shared" ref="D335:F338" si="25">D347+D341</f>
        <v>0</v>
      </c>
      <c r="E335" s="12" t="s">
        <v>22</v>
      </c>
      <c r="F335" s="17">
        <f t="shared" si="25"/>
        <v>0</v>
      </c>
      <c r="G335" s="12" t="s">
        <v>22</v>
      </c>
      <c r="H335" s="17">
        <f t="shared" ref="H335:H336" si="26">H347+H341</f>
        <v>0</v>
      </c>
      <c r="I335" s="22"/>
      <c r="J335" s="28"/>
      <c r="K335" s="22"/>
    </row>
    <row r="336" spans="1:11" s="4" customFormat="1" x14ac:dyDescent="0.25">
      <c r="A336" s="40"/>
      <c r="B336" s="37"/>
      <c r="C336" s="12" t="s">
        <v>23</v>
      </c>
      <c r="D336" s="17">
        <f t="shared" si="25"/>
        <v>0</v>
      </c>
      <c r="E336" s="12" t="s">
        <v>23</v>
      </c>
      <c r="F336" s="17">
        <f t="shared" si="25"/>
        <v>0</v>
      </c>
      <c r="G336" s="12" t="s">
        <v>23</v>
      </c>
      <c r="H336" s="17">
        <f t="shared" si="26"/>
        <v>0</v>
      </c>
      <c r="I336" s="22"/>
      <c r="J336" s="28"/>
      <c r="K336" s="22"/>
    </row>
    <row r="337" spans="1:11" s="4" customFormat="1" x14ac:dyDescent="0.25">
      <c r="A337" s="40"/>
      <c r="B337" s="37"/>
      <c r="C337" s="12" t="s">
        <v>24</v>
      </c>
      <c r="D337" s="17">
        <f>D349+D343</f>
        <v>118</v>
      </c>
      <c r="E337" s="12" t="s">
        <v>24</v>
      </c>
      <c r="F337" s="17">
        <f>F349+F343</f>
        <v>0</v>
      </c>
      <c r="G337" s="12" t="s">
        <v>24</v>
      </c>
      <c r="H337" s="17">
        <f>H349+H343</f>
        <v>0</v>
      </c>
      <c r="I337" s="22"/>
      <c r="J337" s="28"/>
      <c r="K337" s="22"/>
    </row>
    <row r="338" spans="1:11" s="4" customFormat="1" x14ac:dyDescent="0.25">
      <c r="A338" s="41"/>
      <c r="B338" s="38"/>
      <c r="C338" s="12" t="s">
        <v>25</v>
      </c>
      <c r="D338" s="17">
        <f t="shared" si="25"/>
        <v>0</v>
      </c>
      <c r="E338" s="12" t="s">
        <v>25</v>
      </c>
      <c r="F338" s="17">
        <f t="shared" si="25"/>
        <v>0</v>
      </c>
      <c r="G338" s="12" t="s">
        <v>25</v>
      </c>
      <c r="H338" s="17">
        <f t="shared" ref="H338" si="27">H350+H344</f>
        <v>0</v>
      </c>
      <c r="I338" s="22"/>
      <c r="J338" s="28"/>
      <c r="K338" s="22"/>
    </row>
    <row r="339" spans="1:11" s="4" customFormat="1" x14ac:dyDescent="0.25">
      <c r="A339" s="32" t="s">
        <v>132</v>
      </c>
      <c r="B339" s="21" t="s">
        <v>133</v>
      </c>
      <c r="C339" s="9" t="s">
        <v>28</v>
      </c>
      <c r="D339" s="17">
        <f>D341+D342+D343+D344</f>
        <v>118</v>
      </c>
      <c r="E339" s="9" t="s">
        <v>28</v>
      </c>
      <c r="F339" s="17">
        <f>F341+F342+F343+F344</f>
        <v>0</v>
      </c>
      <c r="G339" s="9" t="s">
        <v>28</v>
      </c>
      <c r="H339" s="17">
        <f>H341+H342+H343+H344</f>
        <v>0</v>
      </c>
      <c r="I339" s="22" t="s">
        <v>104</v>
      </c>
      <c r="J339" s="28"/>
      <c r="K339" s="22" t="s">
        <v>30</v>
      </c>
    </row>
    <row r="340" spans="1:11" s="4" customFormat="1" x14ac:dyDescent="0.25">
      <c r="A340" s="32"/>
      <c r="B340" s="21"/>
      <c r="C340" s="9" t="s">
        <v>21</v>
      </c>
      <c r="D340" s="17"/>
      <c r="E340" s="9" t="s">
        <v>21</v>
      </c>
      <c r="F340" s="17"/>
      <c r="G340" s="9" t="s">
        <v>21</v>
      </c>
      <c r="H340" s="17"/>
      <c r="I340" s="22"/>
      <c r="J340" s="28"/>
      <c r="K340" s="22"/>
    </row>
    <row r="341" spans="1:11" s="4" customFormat="1" x14ac:dyDescent="0.25">
      <c r="A341" s="32"/>
      <c r="B341" s="21"/>
      <c r="C341" s="12" t="s">
        <v>22</v>
      </c>
      <c r="D341" s="17">
        <v>0</v>
      </c>
      <c r="E341" s="12" t="s">
        <v>22</v>
      </c>
      <c r="F341" s="17">
        <v>0</v>
      </c>
      <c r="G341" s="12" t="s">
        <v>22</v>
      </c>
      <c r="H341" s="17">
        <v>0</v>
      </c>
      <c r="I341" s="22"/>
      <c r="J341" s="28"/>
      <c r="K341" s="22"/>
    </row>
    <row r="342" spans="1:11" s="4" customFormat="1" x14ac:dyDescent="0.25">
      <c r="A342" s="32"/>
      <c r="B342" s="21"/>
      <c r="C342" s="12" t="s">
        <v>23</v>
      </c>
      <c r="D342" s="17">
        <v>0</v>
      </c>
      <c r="E342" s="12" t="s">
        <v>23</v>
      </c>
      <c r="F342" s="17">
        <v>0</v>
      </c>
      <c r="G342" s="12" t="s">
        <v>23</v>
      </c>
      <c r="H342" s="17">
        <v>0</v>
      </c>
      <c r="I342" s="22"/>
      <c r="J342" s="28"/>
      <c r="K342" s="22"/>
    </row>
    <row r="343" spans="1:11" s="4" customFormat="1" x14ac:dyDescent="0.25">
      <c r="A343" s="32"/>
      <c r="B343" s="21"/>
      <c r="C343" s="12" t="s">
        <v>24</v>
      </c>
      <c r="D343" s="17">
        <v>118</v>
      </c>
      <c r="E343" s="12" t="s">
        <v>24</v>
      </c>
      <c r="F343" s="17">
        <v>0</v>
      </c>
      <c r="G343" s="12" t="s">
        <v>24</v>
      </c>
      <c r="H343" s="17">
        <v>0</v>
      </c>
      <c r="I343" s="22"/>
      <c r="J343" s="28"/>
      <c r="K343" s="22"/>
    </row>
    <row r="344" spans="1:11" s="4" customFormat="1" x14ac:dyDescent="0.25">
      <c r="A344" s="32"/>
      <c r="B344" s="21"/>
      <c r="C344" s="12" t="s">
        <v>25</v>
      </c>
      <c r="D344" s="17">
        <v>0</v>
      </c>
      <c r="E344" s="12" t="s">
        <v>25</v>
      </c>
      <c r="F344" s="17">
        <v>0</v>
      </c>
      <c r="G344" s="12" t="s">
        <v>25</v>
      </c>
      <c r="H344" s="17">
        <v>0</v>
      </c>
      <c r="I344" s="22"/>
      <c r="J344" s="28"/>
      <c r="K344" s="22"/>
    </row>
    <row r="345" spans="1:11" s="4" customFormat="1" x14ac:dyDescent="0.25">
      <c r="A345" s="32" t="s">
        <v>134</v>
      </c>
      <c r="B345" s="21" t="s">
        <v>95</v>
      </c>
      <c r="C345" s="9" t="s">
        <v>28</v>
      </c>
      <c r="D345" s="17">
        <f>D347+D348+D349+D350</f>
        <v>0</v>
      </c>
      <c r="E345" s="9" t="s">
        <v>28</v>
      </c>
      <c r="F345" s="17">
        <f>F347+F348+F349+F350</f>
        <v>0</v>
      </c>
      <c r="G345" s="9" t="s">
        <v>28</v>
      </c>
      <c r="H345" s="17">
        <f>H347+H348+H349+H350</f>
        <v>0</v>
      </c>
      <c r="I345" s="22" t="s">
        <v>104</v>
      </c>
      <c r="J345" s="28"/>
      <c r="K345" s="22" t="s">
        <v>30</v>
      </c>
    </row>
    <row r="346" spans="1:11" s="4" customFormat="1" x14ac:dyDescent="0.25">
      <c r="A346" s="32"/>
      <c r="B346" s="21"/>
      <c r="C346" s="9" t="s">
        <v>21</v>
      </c>
      <c r="D346" s="17"/>
      <c r="E346" s="9" t="s">
        <v>21</v>
      </c>
      <c r="F346" s="17"/>
      <c r="G346" s="9" t="s">
        <v>21</v>
      </c>
      <c r="H346" s="17"/>
      <c r="I346" s="22"/>
      <c r="J346" s="28"/>
      <c r="K346" s="22"/>
    </row>
    <row r="347" spans="1:11" s="4" customFormat="1" x14ac:dyDescent="0.25">
      <c r="A347" s="32"/>
      <c r="B347" s="21"/>
      <c r="C347" s="12" t="s">
        <v>22</v>
      </c>
      <c r="D347" s="17">
        <v>0</v>
      </c>
      <c r="E347" s="12" t="s">
        <v>22</v>
      </c>
      <c r="F347" s="17">
        <v>0</v>
      </c>
      <c r="G347" s="12" t="s">
        <v>22</v>
      </c>
      <c r="H347" s="17">
        <v>0</v>
      </c>
      <c r="I347" s="22"/>
      <c r="J347" s="28"/>
      <c r="K347" s="22"/>
    </row>
    <row r="348" spans="1:11" s="4" customFormat="1" x14ac:dyDescent="0.25">
      <c r="A348" s="32"/>
      <c r="B348" s="21"/>
      <c r="C348" s="12" t="s">
        <v>23</v>
      </c>
      <c r="D348" s="17">
        <v>0</v>
      </c>
      <c r="E348" s="12" t="s">
        <v>23</v>
      </c>
      <c r="F348" s="17">
        <v>0</v>
      </c>
      <c r="G348" s="12" t="s">
        <v>23</v>
      </c>
      <c r="H348" s="17">
        <v>0</v>
      </c>
      <c r="I348" s="22"/>
      <c r="J348" s="28"/>
      <c r="K348" s="22"/>
    </row>
    <row r="349" spans="1:11" s="4" customFormat="1" x14ac:dyDescent="0.25">
      <c r="A349" s="32"/>
      <c r="B349" s="21"/>
      <c r="C349" s="12" t="s">
        <v>24</v>
      </c>
      <c r="D349" s="17">
        <v>0</v>
      </c>
      <c r="E349" s="12" t="s">
        <v>24</v>
      </c>
      <c r="F349" s="17">
        <v>0</v>
      </c>
      <c r="G349" s="12" t="s">
        <v>24</v>
      </c>
      <c r="H349" s="17">
        <v>0</v>
      </c>
      <c r="I349" s="22"/>
      <c r="J349" s="28"/>
      <c r="K349" s="22"/>
    </row>
    <row r="350" spans="1:11" s="4" customFormat="1" x14ac:dyDescent="0.25">
      <c r="A350" s="32"/>
      <c r="B350" s="21"/>
      <c r="C350" s="12" t="s">
        <v>25</v>
      </c>
      <c r="D350" s="17">
        <v>0</v>
      </c>
      <c r="E350" s="12" t="s">
        <v>25</v>
      </c>
      <c r="F350" s="17">
        <v>0</v>
      </c>
      <c r="G350" s="12" t="s">
        <v>25</v>
      </c>
      <c r="H350" s="17">
        <v>0</v>
      </c>
      <c r="I350" s="22"/>
      <c r="J350" s="28"/>
      <c r="K350" s="22"/>
    </row>
    <row r="351" spans="1:11" s="4" customFormat="1" x14ac:dyDescent="0.25">
      <c r="A351" s="39" t="s">
        <v>135</v>
      </c>
      <c r="B351" s="58" t="s">
        <v>136</v>
      </c>
      <c r="C351" s="9" t="s">
        <v>28</v>
      </c>
      <c r="D351" s="17">
        <f>D353+D354+D355+D356</f>
        <v>0</v>
      </c>
      <c r="E351" s="9" t="s">
        <v>28</v>
      </c>
      <c r="F351" s="17">
        <f>F353+F354+F355+F356</f>
        <v>660</v>
      </c>
      <c r="G351" s="9" t="s">
        <v>28</v>
      </c>
      <c r="H351" s="17">
        <f>H353+H354+H355+H356</f>
        <v>0</v>
      </c>
      <c r="I351" s="22" t="s">
        <v>104</v>
      </c>
      <c r="J351" s="28"/>
      <c r="K351" s="22" t="s">
        <v>30</v>
      </c>
    </row>
    <row r="352" spans="1:11" s="4" customFormat="1" x14ac:dyDescent="0.25">
      <c r="A352" s="40"/>
      <c r="B352" s="37"/>
      <c r="C352" s="9" t="s">
        <v>21</v>
      </c>
      <c r="D352" s="17"/>
      <c r="E352" s="9" t="s">
        <v>21</v>
      </c>
      <c r="F352" s="17"/>
      <c r="G352" s="9" t="s">
        <v>21</v>
      </c>
      <c r="H352" s="17"/>
      <c r="I352" s="22"/>
      <c r="J352" s="28"/>
      <c r="K352" s="22"/>
    </row>
    <row r="353" spans="1:11" s="4" customFormat="1" x14ac:dyDescent="0.25">
      <c r="A353" s="40"/>
      <c r="B353" s="37"/>
      <c r="C353" s="12" t="s">
        <v>22</v>
      </c>
      <c r="D353" s="17">
        <f>D359</f>
        <v>0</v>
      </c>
      <c r="E353" s="12" t="s">
        <v>22</v>
      </c>
      <c r="F353" s="17">
        <f>F359</f>
        <v>0</v>
      </c>
      <c r="G353" s="12" t="s">
        <v>22</v>
      </c>
      <c r="H353" s="17">
        <f>H359</f>
        <v>0</v>
      </c>
      <c r="I353" s="22"/>
      <c r="J353" s="28"/>
      <c r="K353" s="22"/>
    </row>
    <row r="354" spans="1:11" s="4" customFormat="1" x14ac:dyDescent="0.25">
      <c r="A354" s="40"/>
      <c r="B354" s="37"/>
      <c r="C354" s="12" t="s">
        <v>23</v>
      </c>
      <c r="D354" s="17">
        <f t="shared" ref="D354:F356" si="28">D360</f>
        <v>0</v>
      </c>
      <c r="E354" s="12" t="s">
        <v>23</v>
      </c>
      <c r="F354" s="17">
        <f t="shared" si="28"/>
        <v>0</v>
      </c>
      <c r="G354" s="12" t="s">
        <v>23</v>
      </c>
      <c r="H354" s="17">
        <f t="shared" ref="H354:H356" si="29">H360</f>
        <v>0</v>
      </c>
      <c r="I354" s="22"/>
      <c r="J354" s="28"/>
      <c r="K354" s="22"/>
    </row>
    <row r="355" spans="1:11" s="4" customFormat="1" x14ac:dyDescent="0.25">
      <c r="A355" s="40"/>
      <c r="B355" s="37"/>
      <c r="C355" s="12" t="s">
        <v>24</v>
      </c>
      <c r="D355" s="17">
        <f t="shared" si="28"/>
        <v>0</v>
      </c>
      <c r="E355" s="12" t="s">
        <v>24</v>
      </c>
      <c r="F355" s="17">
        <f t="shared" si="28"/>
        <v>660</v>
      </c>
      <c r="G355" s="12" t="s">
        <v>24</v>
      </c>
      <c r="H355" s="17">
        <f t="shared" si="29"/>
        <v>0</v>
      </c>
      <c r="I355" s="22"/>
      <c r="J355" s="28"/>
      <c r="K355" s="22"/>
    </row>
    <row r="356" spans="1:11" s="4" customFormat="1" x14ac:dyDescent="0.25">
      <c r="A356" s="41"/>
      <c r="B356" s="38"/>
      <c r="C356" s="12" t="s">
        <v>25</v>
      </c>
      <c r="D356" s="17">
        <f t="shared" si="28"/>
        <v>0</v>
      </c>
      <c r="E356" s="12" t="s">
        <v>25</v>
      </c>
      <c r="F356" s="17">
        <f t="shared" si="28"/>
        <v>0</v>
      </c>
      <c r="G356" s="12" t="s">
        <v>25</v>
      </c>
      <c r="H356" s="17">
        <f t="shared" si="29"/>
        <v>0</v>
      </c>
      <c r="I356" s="22"/>
      <c r="J356" s="28"/>
      <c r="K356" s="22"/>
    </row>
    <row r="357" spans="1:11" s="4" customFormat="1" x14ac:dyDescent="0.25">
      <c r="A357" s="32" t="s">
        <v>137</v>
      </c>
      <c r="B357" s="21" t="s">
        <v>95</v>
      </c>
      <c r="C357" s="9" t="s">
        <v>28</v>
      </c>
      <c r="D357" s="17">
        <f>D359+D360+D361+D362</f>
        <v>0</v>
      </c>
      <c r="E357" s="9" t="s">
        <v>28</v>
      </c>
      <c r="F357" s="17">
        <f>F359+F360+F361+F362</f>
        <v>660</v>
      </c>
      <c r="G357" s="9" t="s">
        <v>28</v>
      </c>
      <c r="H357" s="17">
        <f>H359+H360+H361+H362</f>
        <v>0</v>
      </c>
      <c r="I357" s="22" t="s">
        <v>104</v>
      </c>
      <c r="J357" s="28"/>
      <c r="K357" s="22" t="s">
        <v>30</v>
      </c>
    </row>
    <row r="358" spans="1:11" s="4" customFormat="1" x14ac:dyDescent="0.25">
      <c r="A358" s="32"/>
      <c r="B358" s="21"/>
      <c r="C358" s="9" t="s">
        <v>21</v>
      </c>
      <c r="D358" s="17"/>
      <c r="E358" s="9" t="s">
        <v>21</v>
      </c>
      <c r="F358" s="17"/>
      <c r="G358" s="9" t="s">
        <v>21</v>
      </c>
      <c r="H358" s="17"/>
      <c r="I358" s="22"/>
      <c r="J358" s="28"/>
      <c r="K358" s="22"/>
    </row>
    <row r="359" spans="1:11" s="4" customFormat="1" x14ac:dyDescent="0.25">
      <c r="A359" s="32"/>
      <c r="B359" s="21"/>
      <c r="C359" s="12" t="s">
        <v>22</v>
      </c>
      <c r="D359" s="17">
        <v>0</v>
      </c>
      <c r="E359" s="12" t="s">
        <v>22</v>
      </c>
      <c r="F359" s="17">
        <v>0</v>
      </c>
      <c r="G359" s="12" t="s">
        <v>22</v>
      </c>
      <c r="H359" s="17">
        <v>0</v>
      </c>
      <c r="I359" s="22"/>
      <c r="J359" s="28"/>
      <c r="K359" s="22"/>
    </row>
    <row r="360" spans="1:11" s="4" customFormat="1" x14ac:dyDescent="0.25">
      <c r="A360" s="32"/>
      <c r="B360" s="21"/>
      <c r="C360" s="12" t="s">
        <v>23</v>
      </c>
      <c r="D360" s="17">
        <v>0</v>
      </c>
      <c r="E360" s="12" t="s">
        <v>23</v>
      </c>
      <c r="F360" s="17">
        <v>0</v>
      </c>
      <c r="G360" s="12" t="s">
        <v>23</v>
      </c>
      <c r="H360" s="17">
        <v>0</v>
      </c>
      <c r="I360" s="22"/>
      <c r="J360" s="28"/>
      <c r="K360" s="22"/>
    </row>
    <row r="361" spans="1:11" s="4" customFormat="1" x14ac:dyDescent="0.25">
      <c r="A361" s="32"/>
      <c r="B361" s="21"/>
      <c r="C361" s="12" t="s">
        <v>24</v>
      </c>
      <c r="D361" s="17">
        <v>0</v>
      </c>
      <c r="E361" s="12" t="s">
        <v>24</v>
      </c>
      <c r="F361" s="17">
        <v>660</v>
      </c>
      <c r="G361" s="12" t="s">
        <v>24</v>
      </c>
      <c r="H361" s="17">
        <v>0</v>
      </c>
      <c r="I361" s="22"/>
      <c r="J361" s="28"/>
      <c r="K361" s="22"/>
    </row>
    <row r="362" spans="1:11" s="4" customFormat="1" x14ac:dyDescent="0.25">
      <c r="A362" s="32"/>
      <c r="B362" s="21"/>
      <c r="C362" s="12" t="s">
        <v>25</v>
      </c>
      <c r="D362" s="17">
        <v>0</v>
      </c>
      <c r="E362" s="12" t="s">
        <v>25</v>
      </c>
      <c r="F362" s="17">
        <v>0</v>
      </c>
      <c r="G362" s="12" t="s">
        <v>25</v>
      </c>
      <c r="H362" s="17">
        <v>0</v>
      </c>
      <c r="I362" s="22"/>
      <c r="J362" s="28"/>
      <c r="K362" s="22"/>
    </row>
    <row r="363" spans="1:11" s="4" customFormat="1" x14ac:dyDescent="0.25">
      <c r="A363" s="30" t="s">
        <v>138</v>
      </c>
      <c r="B363" s="31" t="s">
        <v>139</v>
      </c>
      <c r="C363" s="9" t="s">
        <v>28</v>
      </c>
      <c r="D363" s="10">
        <f>D365+D366+D367+D368</f>
        <v>183.34332999999998</v>
      </c>
      <c r="E363" s="9" t="s">
        <v>28</v>
      </c>
      <c r="F363" s="10">
        <f>F365+F366+F367+F368</f>
        <v>0</v>
      </c>
      <c r="G363" s="9" t="s">
        <v>28</v>
      </c>
      <c r="H363" s="10">
        <f>H365+H366+H367+H368</f>
        <v>0</v>
      </c>
      <c r="I363" s="22" t="s">
        <v>104</v>
      </c>
      <c r="J363" s="28"/>
      <c r="K363" s="22" t="s">
        <v>30</v>
      </c>
    </row>
    <row r="364" spans="1:11" s="4" customFormat="1" x14ac:dyDescent="0.25">
      <c r="A364" s="30"/>
      <c r="B364" s="31"/>
      <c r="C364" s="9" t="s">
        <v>21</v>
      </c>
      <c r="D364" s="10"/>
      <c r="E364" s="9" t="s">
        <v>21</v>
      </c>
      <c r="F364" s="10"/>
      <c r="G364" s="9" t="s">
        <v>21</v>
      </c>
      <c r="H364" s="10"/>
      <c r="I364" s="22"/>
      <c r="J364" s="28"/>
      <c r="K364" s="22"/>
    </row>
    <row r="365" spans="1:11" s="4" customFormat="1" x14ac:dyDescent="0.25">
      <c r="A365" s="30"/>
      <c r="B365" s="31"/>
      <c r="C365" s="12" t="s">
        <v>22</v>
      </c>
      <c r="D365" s="10">
        <f>D371</f>
        <v>0</v>
      </c>
      <c r="E365" s="12" t="s">
        <v>22</v>
      </c>
      <c r="F365" s="10">
        <f>F371</f>
        <v>0</v>
      </c>
      <c r="G365" s="12" t="s">
        <v>22</v>
      </c>
      <c r="H365" s="10">
        <f>H371</f>
        <v>0</v>
      </c>
      <c r="I365" s="22"/>
      <c r="J365" s="28"/>
      <c r="K365" s="22"/>
    </row>
    <row r="366" spans="1:11" s="4" customFormat="1" x14ac:dyDescent="0.25">
      <c r="A366" s="30"/>
      <c r="B366" s="31"/>
      <c r="C366" s="12" t="s">
        <v>23</v>
      </c>
      <c r="D366" s="10">
        <f t="shared" ref="D366:F368" si="30">D372</f>
        <v>0</v>
      </c>
      <c r="E366" s="12" t="s">
        <v>23</v>
      </c>
      <c r="F366" s="10">
        <f t="shared" si="30"/>
        <v>0</v>
      </c>
      <c r="G366" s="12" t="s">
        <v>23</v>
      </c>
      <c r="H366" s="10">
        <f t="shared" ref="H366:H368" si="31">H372</f>
        <v>0</v>
      </c>
      <c r="I366" s="22"/>
      <c r="J366" s="28"/>
      <c r="K366" s="22"/>
    </row>
    <row r="367" spans="1:11" s="4" customFormat="1" x14ac:dyDescent="0.25">
      <c r="A367" s="30"/>
      <c r="B367" s="31"/>
      <c r="C367" s="12" t="s">
        <v>24</v>
      </c>
      <c r="D367" s="10">
        <f t="shared" si="30"/>
        <v>183.34332999999998</v>
      </c>
      <c r="E367" s="12" t="s">
        <v>24</v>
      </c>
      <c r="F367" s="10">
        <f t="shared" si="30"/>
        <v>0</v>
      </c>
      <c r="G367" s="12" t="s">
        <v>24</v>
      </c>
      <c r="H367" s="10">
        <f t="shared" si="31"/>
        <v>0</v>
      </c>
      <c r="I367" s="22"/>
      <c r="J367" s="28"/>
      <c r="K367" s="22"/>
    </row>
    <row r="368" spans="1:11" s="4" customFormat="1" x14ac:dyDescent="0.25">
      <c r="A368" s="30"/>
      <c r="B368" s="31"/>
      <c r="C368" s="12" t="s">
        <v>25</v>
      </c>
      <c r="D368" s="10">
        <f t="shared" si="30"/>
        <v>0</v>
      </c>
      <c r="E368" s="12" t="s">
        <v>25</v>
      </c>
      <c r="F368" s="10">
        <f t="shared" si="30"/>
        <v>0</v>
      </c>
      <c r="G368" s="12" t="s">
        <v>25</v>
      </c>
      <c r="H368" s="10">
        <f t="shared" si="31"/>
        <v>0</v>
      </c>
      <c r="I368" s="22"/>
      <c r="J368" s="28"/>
      <c r="K368" s="22"/>
    </row>
    <row r="369" spans="1:11" s="4" customFormat="1" x14ac:dyDescent="0.25">
      <c r="A369" s="32" t="s">
        <v>140</v>
      </c>
      <c r="B369" s="21" t="s">
        <v>141</v>
      </c>
      <c r="C369" s="9" t="s">
        <v>28</v>
      </c>
      <c r="D369" s="17">
        <f>D371+D372+D373+D374</f>
        <v>183.34332999999998</v>
      </c>
      <c r="E369" s="9" t="s">
        <v>28</v>
      </c>
      <c r="F369" s="17">
        <f>F371+F372+F373+F374</f>
        <v>0</v>
      </c>
      <c r="G369" s="9" t="s">
        <v>28</v>
      </c>
      <c r="H369" s="17">
        <f>H371+H372+H373+H374</f>
        <v>0</v>
      </c>
      <c r="I369" s="22" t="s">
        <v>104</v>
      </c>
      <c r="J369" s="28"/>
      <c r="K369" s="22" t="s">
        <v>30</v>
      </c>
    </row>
    <row r="370" spans="1:11" s="4" customFormat="1" x14ac:dyDescent="0.25">
      <c r="A370" s="32"/>
      <c r="B370" s="21"/>
      <c r="C370" s="9" t="s">
        <v>21</v>
      </c>
      <c r="D370" s="17"/>
      <c r="E370" s="9" t="s">
        <v>21</v>
      </c>
      <c r="F370" s="17"/>
      <c r="G370" s="9" t="s">
        <v>21</v>
      </c>
      <c r="H370" s="17"/>
      <c r="I370" s="22"/>
      <c r="J370" s="28"/>
      <c r="K370" s="22"/>
    </row>
    <row r="371" spans="1:11" s="4" customFormat="1" x14ac:dyDescent="0.25">
      <c r="A371" s="32"/>
      <c r="B371" s="21"/>
      <c r="C371" s="12" t="s">
        <v>22</v>
      </c>
      <c r="D371" s="17">
        <f>D377+D383</f>
        <v>0</v>
      </c>
      <c r="E371" s="12" t="s">
        <v>22</v>
      </c>
      <c r="F371" s="17">
        <f>F377+F383</f>
        <v>0</v>
      </c>
      <c r="G371" s="12" t="s">
        <v>22</v>
      </c>
      <c r="H371" s="17">
        <f>H377+H383</f>
        <v>0</v>
      </c>
      <c r="I371" s="22"/>
      <c r="J371" s="28"/>
      <c r="K371" s="22"/>
    </row>
    <row r="372" spans="1:11" s="4" customFormat="1" x14ac:dyDescent="0.25">
      <c r="A372" s="32"/>
      <c r="B372" s="21"/>
      <c r="C372" s="12" t="s">
        <v>23</v>
      </c>
      <c r="D372" s="17">
        <f t="shared" ref="D372:F374" si="32">D378+D384</f>
        <v>0</v>
      </c>
      <c r="E372" s="12" t="s">
        <v>23</v>
      </c>
      <c r="F372" s="17">
        <f t="shared" si="32"/>
        <v>0</v>
      </c>
      <c r="G372" s="12" t="s">
        <v>23</v>
      </c>
      <c r="H372" s="17">
        <f t="shared" ref="H372:H374" si="33">H378+H384</f>
        <v>0</v>
      </c>
      <c r="I372" s="22"/>
      <c r="J372" s="28"/>
      <c r="K372" s="22"/>
    </row>
    <row r="373" spans="1:11" s="4" customFormat="1" x14ac:dyDescent="0.25">
      <c r="A373" s="32"/>
      <c r="B373" s="21"/>
      <c r="C373" s="12" t="s">
        <v>24</v>
      </c>
      <c r="D373" s="17">
        <f t="shared" si="32"/>
        <v>183.34332999999998</v>
      </c>
      <c r="E373" s="12" t="s">
        <v>24</v>
      </c>
      <c r="F373" s="17">
        <f t="shared" si="32"/>
        <v>0</v>
      </c>
      <c r="G373" s="12" t="s">
        <v>24</v>
      </c>
      <c r="H373" s="17">
        <f t="shared" si="33"/>
        <v>0</v>
      </c>
      <c r="I373" s="22"/>
      <c r="J373" s="28"/>
      <c r="K373" s="22"/>
    </row>
    <row r="374" spans="1:11" s="4" customFormat="1" x14ac:dyDescent="0.25">
      <c r="A374" s="32"/>
      <c r="B374" s="21"/>
      <c r="C374" s="12" t="s">
        <v>25</v>
      </c>
      <c r="D374" s="17">
        <f t="shared" si="32"/>
        <v>0</v>
      </c>
      <c r="E374" s="12" t="s">
        <v>25</v>
      </c>
      <c r="F374" s="17">
        <f t="shared" si="32"/>
        <v>0</v>
      </c>
      <c r="G374" s="12" t="s">
        <v>25</v>
      </c>
      <c r="H374" s="17">
        <f t="shared" si="33"/>
        <v>0</v>
      </c>
      <c r="I374" s="22"/>
      <c r="J374" s="28"/>
      <c r="K374" s="22"/>
    </row>
    <row r="375" spans="1:11" s="4" customFormat="1" x14ac:dyDescent="0.25">
      <c r="A375" s="32" t="s">
        <v>142</v>
      </c>
      <c r="B375" s="21" t="s">
        <v>143</v>
      </c>
      <c r="C375" s="9" t="s">
        <v>28</v>
      </c>
      <c r="D375" s="17">
        <f>D377+D378+D379+D380</f>
        <v>183.34332999999998</v>
      </c>
      <c r="E375" s="9" t="s">
        <v>28</v>
      </c>
      <c r="F375" s="17">
        <f>F377+F378+F379+F380</f>
        <v>0</v>
      </c>
      <c r="G375" s="9" t="s">
        <v>28</v>
      </c>
      <c r="H375" s="17">
        <f>H377+H378+H379+H380</f>
        <v>0</v>
      </c>
      <c r="I375" s="22" t="s">
        <v>104</v>
      </c>
      <c r="J375" s="28"/>
      <c r="K375" s="22" t="s">
        <v>30</v>
      </c>
    </row>
    <row r="376" spans="1:11" s="4" customFormat="1" x14ac:dyDescent="0.25">
      <c r="A376" s="32"/>
      <c r="B376" s="21"/>
      <c r="C376" s="9" t="s">
        <v>21</v>
      </c>
      <c r="D376" s="17"/>
      <c r="E376" s="9" t="s">
        <v>21</v>
      </c>
      <c r="F376" s="17"/>
      <c r="G376" s="9" t="s">
        <v>21</v>
      </c>
      <c r="H376" s="17"/>
      <c r="I376" s="22"/>
      <c r="J376" s="28"/>
      <c r="K376" s="22"/>
    </row>
    <row r="377" spans="1:11" s="4" customFormat="1" x14ac:dyDescent="0.25">
      <c r="A377" s="32"/>
      <c r="B377" s="21"/>
      <c r="C377" s="12" t="s">
        <v>22</v>
      </c>
      <c r="D377" s="17">
        <v>0</v>
      </c>
      <c r="E377" s="12" t="s">
        <v>22</v>
      </c>
      <c r="F377" s="17">
        <v>0</v>
      </c>
      <c r="G377" s="12" t="s">
        <v>22</v>
      </c>
      <c r="H377" s="17">
        <v>0</v>
      </c>
      <c r="I377" s="22"/>
      <c r="J377" s="28"/>
      <c r="K377" s="22"/>
    </row>
    <row r="378" spans="1:11" s="4" customFormat="1" x14ac:dyDescent="0.25">
      <c r="A378" s="32"/>
      <c r="B378" s="21"/>
      <c r="C378" s="12" t="s">
        <v>23</v>
      </c>
      <c r="D378" s="17">
        <v>0</v>
      </c>
      <c r="E378" s="12" t="s">
        <v>23</v>
      </c>
      <c r="F378" s="17">
        <v>0</v>
      </c>
      <c r="G378" s="12" t="s">
        <v>23</v>
      </c>
      <c r="H378" s="17">
        <v>0</v>
      </c>
      <c r="I378" s="22"/>
      <c r="J378" s="28"/>
      <c r="K378" s="22"/>
    </row>
    <row r="379" spans="1:11" s="4" customFormat="1" x14ac:dyDescent="0.25">
      <c r="A379" s="32"/>
      <c r="B379" s="21"/>
      <c r="C379" s="12" t="s">
        <v>24</v>
      </c>
      <c r="D379" s="17">
        <f>183333.33/1000+0.01</f>
        <v>183.34332999999998</v>
      </c>
      <c r="E379" s="12" t="s">
        <v>24</v>
      </c>
      <c r="F379" s="17">
        <v>0</v>
      </c>
      <c r="G379" s="12" t="s">
        <v>24</v>
      </c>
      <c r="H379" s="17">
        <v>0</v>
      </c>
      <c r="I379" s="22"/>
      <c r="J379" s="28"/>
      <c r="K379" s="22"/>
    </row>
    <row r="380" spans="1:11" s="4" customFormat="1" x14ac:dyDescent="0.25">
      <c r="A380" s="32"/>
      <c r="B380" s="21"/>
      <c r="C380" s="12" t="s">
        <v>25</v>
      </c>
      <c r="D380" s="17">
        <v>0</v>
      </c>
      <c r="E380" s="12" t="s">
        <v>25</v>
      </c>
      <c r="F380" s="17">
        <v>0</v>
      </c>
      <c r="G380" s="12" t="s">
        <v>25</v>
      </c>
      <c r="H380" s="17">
        <v>0</v>
      </c>
      <c r="I380" s="22"/>
      <c r="J380" s="28"/>
      <c r="K380" s="22"/>
    </row>
    <row r="381" spans="1:11" s="4" customFormat="1" x14ac:dyDescent="0.25">
      <c r="A381" s="32" t="s">
        <v>144</v>
      </c>
      <c r="B381" s="21" t="s">
        <v>95</v>
      </c>
      <c r="C381" s="9" t="s">
        <v>28</v>
      </c>
      <c r="D381" s="17">
        <f>D383+D384+D385+D386</f>
        <v>0</v>
      </c>
      <c r="E381" s="9" t="s">
        <v>28</v>
      </c>
      <c r="F381" s="17">
        <f>F383+F384+F385+F386</f>
        <v>0</v>
      </c>
      <c r="G381" s="9" t="s">
        <v>28</v>
      </c>
      <c r="H381" s="17">
        <f>H383+H384+H385+H386</f>
        <v>0</v>
      </c>
      <c r="I381" s="22" t="s">
        <v>104</v>
      </c>
      <c r="J381" s="28"/>
      <c r="K381" s="22" t="s">
        <v>30</v>
      </c>
    </row>
    <row r="382" spans="1:11" s="4" customFormat="1" x14ac:dyDescent="0.25">
      <c r="A382" s="32"/>
      <c r="B382" s="21"/>
      <c r="C382" s="9" t="s">
        <v>21</v>
      </c>
      <c r="D382" s="17"/>
      <c r="E382" s="9" t="s">
        <v>21</v>
      </c>
      <c r="F382" s="17"/>
      <c r="G382" s="9" t="s">
        <v>21</v>
      </c>
      <c r="H382" s="17"/>
      <c r="I382" s="22"/>
      <c r="J382" s="28"/>
      <c r="K382" s="22"/>
    </row>
    <row r="383" spans="1:11" s="4" customFormat="1" x14ac:dyDescent="0.25">
      <c r="A383" s="32"/>
      <c r="B383" s="21"/>
      <c r="C383" s="12" t="s">
        <v>22</v>
      </c>
      <c r="D383" s="17">
        <v>0</v>
      </c>
      <c r="E383" s="12" t="s">
        <v>22</v>
      </c>
      <c r="F383" s="17">
        <v>0</v>
      </c>
      <c r="G383" s="12" t="s">
        <v>22</v>
      </c>
      <c r="H383" s="17">
        <v>0</v>
      </c>
      <c r="I383" s="22"/>
      <c r="J383" s="28"/>
      <c r="K383" s="22"/>
    </row>
    <row r="384" spans="1:11" s="4" customFormat="1" x14ac:dyDescent="0.25">
      <c r="A384" s="32"/>
      <c r="B384" s="21"/>
      <c r="C384" s="12" t="s">
        <v>23</v>
      </c>
      <c r="D384" s="17">
        <v>0</v>
      </c>
      <c r="E384" s="12" t="s">
        <v>23</v>
      </c>
      <c r="F384" s="17">
        <v>0</v>
      </c>
      <c r="G384" s="12" t="s">
        <v>23</v>
      </c>
      <c r="H384" s="17">
        <v>0</v>
      </c>
      <c r="I384" s="22"/>
      <c r="J384" s="28"/>
      <c r="K384" s="22"/>
    </row>
    <row r="385" spans="1:11" s="4" customFormat="1" x14ac:dyDescent="0.25">
      <c r="A385" s="32"/>
      <c r="B385" s="21"/>
      <c r="C385" s="12" t="s">
        <v>24</v>
      </c>
      <c r="D385" s="17">
        <v>0</v>
      </c>
      <c r="E385" s="12" t="s">
        <v>24</v>
      </c>
      <c r="F385" s="17">
        <v>0</v>
      </c>
      <c r="G385" s="12" t="s">
        <v>24</v>
      </c>
      <c r="H385" s="17">
        <v>0</v>
      </c>
      <c r="I385" s="22"/>
      <c r="J385" s="28"/>
      <c r="K385" s="22"/>
    </row>
    <row r="386" spans="1:11" s="4" customFormat="1" x14ac:dyDescent="0.25">
      <c r="A386" s="32"/>
      <c r="B386" s="21"/>
      <c r="C386" s="12" t="s">
        <v>25</v>
      </c>
      <c r="D386" s="17">
        <v>0</v>
      </c>
      <c r="E386" s="12" t="s">
        <v>25</v>
      </c>
      <c r="F386" s="17">
        <v>0</v>
      </c>
      <c r="G386" s="12" t="s">
        <v>25</v>
      </c>
      <c r="H386" s="17">
        <v>0</v>
      </c>
      <c r="I386" s="22"/>
      <c r="J386" s="28"/>
      <c r="K386" s="22"/>
    </row>
    <row r="387" spans="1:11" s="4" customFormat="1" x14ac:dyDescent="0.25">
      <c r="A387" s="30" t="s">
        <v>145</v>
      </c>
      <c r="B387" s="31" t="s">
        <v>146</v>
      </c>
      <c r="C387" s="9" t="s">
        <v>28</v>
      </c>
      <c r="D387" s="10">
        <f>D389+D390+D391+D392</f>
        <v>21041.132270000002</v>
      </c>
      <c r="E387" s="9" t="s">
        <v>28</v>
      </c>
      <c r="F387" s="10">
        <f>F389+F390+F391+F392</f>
        <v>23235.269999999997</v>
      </c>
      <c r="G387" s="9" t="s">
        <v>28</v>
      </c>
      <c r="H387" s="10">
        <f>H389+H390+H391+H392</f>
        <v>26925.9</v>
      </c>
      <c r="I387" s="22" t="s">
        <v>104</v>
      </c>
      <c r="J387" s="28"/>
      <c r="K387" s="22" t="s">
        <v>30</v>
      </c>
    </row>
    <row r="388" spans="1:11" s="4" customFormat="1" x14ac:dyDescent="0.25">
      <c r="A388" s="30"/>
      <c r="B388" s="31"/>
      <c r="C388" s="9" t="s">
        <v>21</v>
      </c>
      <c r="D388" s="10"/>
      <c r="E388" s="9" t="s">
        <v>21</v>
      </c>
      <c r="F388" s="10"/>
      <c r="G388" s="9" t="s">
        <v>21</v>
      </c>
      <c r="H388" s="10"/>
      <c r="I388" s="22"/>
      <c r="J388" s="28"/>
      <c r="K388" s="22"/>
    </row>
    <row r="389" spans="1:11" s="4" customFormat="1" x14ac:dyDescent="0.25">
      <c r="A389" s="30"/>
      <c r="B389" s="31"/>
      <c r="C389" s="12" t="s">
        <v>22</v>
      </c>
      <c r="D389" s="10">
        <f>D395+D443</f>
        <v>0</v>
      </c>
      <c r="E389" s="12" t="s">
        <v>22</v>
      </c>
      <c r="F389" s="10">
        <f>F395+F443</f>
        <v>0</v>
      </c>
      <c r="G389" s="12" t="s">
        <v>22</v>
      </c>
      <c r="H389" s="10">
        <f>H395+H443</f>
        <v>0</v>
      </c>
      <c r="I389" s="22"/>
      <c r="J389" s="28"/>
      <c r="K389" s="22"/>
    </row>
    <row r="390" spans="1:11" s="4" customFormat="1" x14ac:dyDescent="0.25">
      <c r="A390" s="30"/>
      <c r="B390" s="31"/>
      <c r="C390" s="12" t="s">
        <v>23</v>
      </c>
      <c r="D390" s="10">
        <f>D396+D444</f>
        <v>0</v>
      </c>
      <c r="E390" s="12" t="s">
        <v>23</v>
      </c>
      <c r="F390" s="10">
        <f>F396+F444</f>
        <v>0</v>
      </c>
      <c r="G390" s="12" t="s">
        <v>23</v>
      </c>
      <c r="H390" s="10">
        <f>H396+H444</f>
        <v>0</v>
      </c>
      <c r="I390" s="22"/>
      <c r="J390" s="28"/>
      <c r="K390" s="22"/>
    </row>
    <row r="391" spans="1:11" s="4" customFormat="1" x14ac:dyDescent="0.25">
      <c r="A391" s="30"/>
      <c r="B391" s="31"/>
      <c r="C391" s="12" t="s">
        <v>24</v>
      </c>
      <c r="D391" s="10">
        <f>D397+D445</f>
        <v>21041.132270000002</v>
      </c>
      <c r="E391" s="12" t="s">
        <v>24</v>
      </c>
      <c r="F391" s="10">
        <f>F397+F445</f>
        <v>23235.269999999997</v>
      </c>
      <c r="G391" s="12" t="s">
        <v>24</v>
      </c>
      <c r="H391" s="10">
        <f>H397+H445</f>
        <v>26925.9</v>
      </c>
      <c r="I391" s="22"/>
      <c r="J391" s="28"/>
      <c r="K391" s="22"/>
    </row>
    <row r="392" spans="1:11" s="4" customFormat="1" x14ac:dyDescent="0.25">
      <c r="A392" s="30"/>
      <c r="B392" s="31"/>
      <c r="C392" s="12" t="s">
        <v>25</v>
      </c>
      <c r="D392" s="10">
        <f>D398+D446</f>
        <v>0</v>
      </c>
      <c r="E392" s="12" t="s">
        <v>25</v>
      </c>
      <c r="F392" s="10">
        <f>F398+F446</f>
        <v>0</v>
      </c>
      <c r="G392" s="12" t="s">
        <v>25</v>
      </c>
      <c r="H392" s="10">
        <f t="shared" ref="H392" si="34">H398+H446</f>
        <v>0</v>
      </c>
      <c r="I392" s="22"/>
      <c r="J392" s="28"/>
      <c r="K392" s="22"/>
    </row>
    <row r="393" spans="1:11" s="4" customFormat="1" x14ac:dyDescent="0.25">
      <c r="A393" s="32" t="s">
        <v>147</v>
      </c>
      <c r="B393" s="21" t="s">
        <v>148</v>
      </c>
      <c r="C393" s="9" t="s">
        <v>28</v>
      </c>
      <c r="D393" s="17">
        <f>D395+D396+D397+D398</f>
        <v>3938.5684299999998</v>
      </c>
      <c r="E393" s="9" t="s">
        <v>28</v>
      </c>
      <c r="F393" s="17">
        <f>F395+F396+F397+F398</f>
        <v>2821.6</v>
      </c>
      <c r="G393" s="9" t="s">
        <v>28</v>
      </c>
      <c r="H393" s="17">
        <f>H395+H396+H397+H398</f>
        <v>3715.4</v>
      </c>
      <c r="I393" s="22" t="s">
        <v>104</v>
      </c>
      <c r="J393" s="28"/>
      <c r="K393" s="22" t="s">
        <v>30</v>
      </c>
    </row>
    <row r="394" spans="1:11" s="4" customFormat="1" x14ac:dyDescent="0.25">
      <c r="A394" s="32"/>
      <c r="B394" s="21"/>
      <c r="C394" s="9" t="s">
        <v>21</v>
      </c>
      <c r="D394" s="17"/>
      <c r="E394" s="9" t="s">
        <v>21</v>
      </c>
      <c r="F394" s="17"/>
      <c r="G394" s="9" t="s">
        <v>21</v>
      </c>
      <c r="H394" s="17"/>
      <c r="I394" s="22"/>
      <c r="J394" s="28"/>
      <c r="K394" s="22"/>
    </row>
    <row r="395" spans="1:11" s="4" customFormat="1" x14ac:dyDescent="0.25">
      <c r="A395" s="32"/>
      <c r="B395" s="21"/>
      <c r="C395" s="12" t="s">
        <v>22</v>
      </c>
      <c r="D395" s="17">
        <f t="shared" ref="D395:F398" si="35">D401+D407+D413+D419+D425+D437+D431</f>
        <v>0</v>
      </c>
      <c r="E395" s="12" t="s">
        <v>22</v>
      </c>
      <c r="F395" s="17">
        <f t="shared" si="35"/>
        <v>0</v>
      </c>
      <c r="G395" s="12" t="s">
        <v>22</v>
      </c>
      <c r="H395" s="17">
        <f t="shared" ref="H395:H396" si="36">H401+H407+H413+H419+H425+H437+H431</f>
        <v>0</v>
      </c>
      <c r="I395" s="22"/>
      <c r="J395" s="28"/>
      <c r="K395" s="22"/>
    </row>
    <row r="396" spans="1:11" s="4" customFormat="1" x14ac:dyDescent="0.25">
      <c r="A396" s="32"/>
      <c r="B396" s="21"/>
      <c r="C396" s="12" t="s">
        <v>23</v>
      </c>
      <c r="D396" s="17">
        <f t="shared" si="35"/>
        <v>0</v>
      </c>
      <c r="E396" s="12" t="s">
        <v>23</v>
      </c>
      <c r="F396" s="17">
        <f t="shared" si="35"/>
        <v>0</v>
      </c>
      <c r="G396" s="12" t="s">
        <v>23</v>
      </c>
      <c r="H396" s="17">
        <f t="shared" si="36"/>
        <v>0</v>
      </c>
      <c r="I396" s="22"/>
      <c r="J396" s="28"/>
      <c r="K396" s="22"/>
    </row>
    <row r="397" spans="1:11" s="4" customFormat="1" x14ac:dyDescent="0.25">
      <c r="A397" s="32"/>
      <c r="B397" s="21"/>
      <c r="C397" s="12" t="s">
        <v>24</v>
      </c>
      <c r="D397" s="17">
        <f>D403+D409+D415+D421+D427+D439+D433</f>
        <v>3938.5684299999998</v>
      </c>
      <c r="E397" s="12" t="s">
        <v>24</v>
      </c>
      <c r="F397" s="17">
        <f>F403+F409+F415+F421+F427+F439+F433</f>
        <v>2821.6</v>
      </c>
      <c r="G397" s="12" t="s">
        <v>24</v>
      </c>
      <c r="H397" s="17">
        <f>H403+H409+H415+H421+H427+H439+H433</f>
        <v>3715.4</v>
      </c>
      <c r="I397" s="22"/>
      <c r="J397" s="28"/>
      <c r="K397" s="22"/>
    </row>
    <row r="398" spans="1:11" s="4" customFormat="1" x14ac:dyDescent="0.25">
      <c r="A398" s="32"/>
      <c r="B398" s="21"/>
      <c r="C398" s="12" t="s">
        <v>25</v>
      </c>
      <c r="D398" s="17">
        <f t="shared" si="35"/>
        <v>0</v>
      </c>
      <c r="E398" s="12" t="s">
        <v>25</v>
      </c>
      <c r="F398" s="17">
        <f t="shared" si="35"/>
        <v>0</v>
      </c>
      <c r="G398" s="12" t="s">
        <v>25</v>
      </c>
      <c r="H398" s="17">
        <f t="shared" ref="H398" si="37">H404+H410+H416+H422+H428+H440+H434</f>
        <v>0</v>
      </c>
      <c r="I398" s="22"/>
      <c r="J398" s="28"/>
      <c r="K398" s="22"/>
    </row>
    <row r="399" spans="1:11" s="4" customFormat="1" x14ac:dyDescent="0.25">
      <c r="A399" s="32" t="s">
        <v>149</v>
      </c>
      <c r="B399" s="21" t="s">
        <v>150</v>
      </c>
      <c r="C399" s="9" t="s">
        <v>28</v>
      </c>
      <c r="D399" s="17">
        <f>D401+D402+D403+D404</f>
        <v>1357.2000000000003</v>
      </c>
      <c r="E399" s="9" t="s">
        <v>28</v>
      </c>
      <c r="F399" s="17">
        <f>F401+F402+F403+F404</f>
        <v>2821.6</v>
      </c>
      <c r="G399" s="9" t="s">
        <v>28</v>
      </c>
      <c r="H399" s="17">
        <f>H401+H402+H403+H404</f>
        <v>2934.5</v>
      </c>
      <c r="I399" s="22" t="s">
        <v>104</v>
      </c>
      <c r="J399" s="28"/>
      <c r="K399" s="22" t="s">
        <v>30</v>
      </c>
    </row>
    <row r="400" spans="1:11" s="4" customFormat="1" x14ac:dyDescent="0.25">
      <c r="A400" s="32"/>
      <c r="B400" s="21"/>
      <c r="C400" s="9" t="s">
        <v>21</v>
      </c>
      <c r="D400" s="17"/>
      <c r="E400" s="9" t="s">
        <v>21</v>
      </c>
      <c r="F400" s="17"/>
      <c r="G400" s="9" t="s">
        <v>21</v>
      </c>
      <c r="H400" s="17"/>
      <c r="I400" s="22"/>
      <c r="J400" s="28"/>
      <c r="K400" s="22"/>
    </row>
    <row r="401" spans="1:11" s="4" customFormat="1" x14ac:dyDescent="0.25">
      <c r="A401" s="32"/>
      <c r="B401" s="21"/>
      <c r="C401" s="12" t="s">
        <v>22</v>
      </c>
      <c r="D401" s="17">
        <v>0</v>
      </c>
      <c r="E401" s="12" t="s">
        <v>22</v>
      </c>
      <c r="F401" s="17">
        <v>0</v>
      </c>
      <c r="G401" s="12" t="s">
        <v>22</v>
      </c>
      <c r="H401" s="17">
        <v>0</v>
      </c>
      <c r="I401" s="22"/>
      <c r="J401" s="28"/>
      <c r="K401" s="22"/>
    </row>
    <row r="402" spans="1:11" s="4" customFormat="1" x14ac:dyDescent="0.25">
      <c r="A402" s="32"/>
      <c r="B402" s="21"/>
      <c r="C402" s="12" t="s">
        <v>23</v>
      </c>
      <c r="D402" s="17">
        <v>0</v>
      </c>
      <c r="E402" s="12" t="s">
        <v>23</v>
      </c>
      <c r="F402" s="17">
        <v>0</v>
      </c>
      <c r="G402" s="12" t="s">
        <v>23</v>
      </c>
      <c r="H402" s="17">
        <v>0</v>
      </c>
      <c r="I402" s="22"/>
      <c r="J402" s="28"/>
      <c r="K402" s="22"/>
    </row>
    <row r="403" spans="1:11" s="4" customFormat="1" x14ac:dyDescent="0.25">
      <c r="A403" s="32"/>
      <c r="B403" s="21"/>
      <c r="C403" s="12" t="s">
        <v>24</v>
      </c>
      <c r="D403" s="17">
        <f>3938.57-2581.37</f>
        <v>1357.2000000000003</v>
      </c>
      <c r="E403" s="12" t="s">
        <v>24</v>
      </c>
      <c r="F403" s="17">
        <v>2821.6</v>
      </c>
      <c r="G403" s="12" t="s">
        <v>24</v>
      </c>
      <c r="H403" s="17">
        <v>2934.5</v>
      </c>
      <c r="I403" s="22"/>
      <c r="J403" s="28"/>
      <c r="K403" s="22"/>
    </row>
    <row r="404" spans="1:11" s="4" customFormat="1" x14ac:dyDescent="0.25">
      <c r="A404" s="32"/>
      <c r="B404" s="21"/>
      <c r="C404" s="12" t="s">
        <v>25</v>
      </c>
      <c r="D404" s="17">
        <v>0</v>
      </c>
      <c r="E404" s="12" t="s">
        <v>25</v>
      </c>
      <c r="F404" s="17">
        <v>0</v>
      </c>
      <c r="G404" s="12" t="s">
        <v>25</v>
      </c>
      <c r="H404" s="17">
        <v>0</v>
      </c>
      <c r="I404" s="22"/>
      <c r="J404" s="28"/>
      <c r="K404" s="22"/>
    </row>
    <row r="405" spans="1:11" s="4" customFormat="1" x14ac:dyDescent="0.25">
      <c r="A405" s="32" t="s">
        <v>151</v>
      </c>
      <c r="B405" s="21" t="s">
        <v>152</v>
      </c>
      <c r="C405" s="9" t="s">
        <v>28</v>
      </c>
      <c r="D405" s="17">
        <f>D407+D408+D409+D410</f>
        <v>1248.14105</v>
      </c>
      <c r="E405" s="9" t="s">
        <v>28</v>
      </c>
      <c r="F405" s="17">
        <f>F407+F408+F409+F410</f>
        <v>0</v>
      </c>
      <c r="G405" s="9" t="s">
        <v>28</v>
      </c>
      <c r="H405" s="17">
        <f>H407+H408+H409+H410</f>
        <v>0</v>
      </c>
      <c r="I405" s="22" t="s">
        <v>104</v>
      </c>
      <c r="J405" s="28"/>
      <c r="K405" s="22" t="s">
        <v>30</v>
      </c>
    </row>
    <row r="406" spans="1:11" s="4" customFormat="1" x14ac:dyDescent="0.25">
      <c r="A406" s="32"/>
      <c r="B406" s="21"/>
      <c r="C406" s="9" t="s">
        <v>21</v>
      </c>
      <c r="D406" s="17"/>
      <c r="E406" s="9" t="s">
        <v>21</v>
      </c>
      <c r="F406" s="17"/>
      <c r="G406" s="9" t="s">
        <v>21</v>
      </c>
      <c r="H406" s="17"/>
      <c r="I406" s="22"/>
      <c r="J406" s="28"/>
      <c r="K406" s="22"/>
    </row>
    <row r="407" spans="1:11" s="4" customFormat="1" x14ac:dyDescent="0.25">
      <c r="A407" s="32"/>
      <c r="B407" s="21"/>
      <c r="C407" s="12" t="s">
        <v>22</v>
      </c>
      <c r="D407" s="17">
        <v>0</v>
      </c>
      <c r="E407" s="12" t="s">
        <v>22</v>
      </c>
      <c r="F407" s="17">
        <v>0</v>
      </c>
      <c r="G407" s="12" t="s">
        <v>22</v>
      </c>
      <c r="H407" s="17">
        <v>0</v>
      </c>
      <c r="I407" s="22"/>
      <c r="J407" s="28"/>
      <c r="K407" s="22"/>
    </row>
    <row r="408" spans="1:11" s="4" customFormat="1" x14ac:dyDescent="0.25">
      <c r="A408" s="32"/>
      <c r="B408" s="21"/>
      <c r="C408" s="12" t="s">
        <v>23</v>
      </c>
      <c r="D408" s="17">
        <v>0</v>
      </c>
      <c r="E408" s="12" t="s">
        <v>23</v>
      </c>
      <c r="F408" s="17">
        <v>0</v>
      </c>
      <c r="G408" s="12" t="s">
        <v>23</v>
      </c>
      <c r="H408" s="17">
        <v>0</v>
      </c>
      <c r="I408" s="22"/>
      <c r="J408" s="28"/>
      <c r="K408" s="22"/>
    </row>
    <row r="409" spans="1:11" s="4" customFormat="1" x14ac:dyDescent="0.25">
      <c r="A409" s="32"/>
      <c r="B409" s="21"/>
      <c r="C409" s="12" t="s">
        <v>24</v>
      </c>
      <c r="D409" s="17">
        <f>1248141.05/1000</f>
        <v>1248.14105</v>
      </c>
      <c r="E409" s="12" t="s">
        <v>24</v>
      </c>
      <c r="F409" s="17">
        <v>0</v>
      </c>
      <c r="G409" s="12" t="s">
        <v>24</v>
      </c>
      <c r="H409" s="17">
        <v>0</v>
      </c>
      <c r="I409" s="22"/>
      <c r="J409" s="28"/>
      <c r="K409" s="22"/>
    </row>
    <row r="410" spans="1:11" s="4" customFormat="1" x14ac:dyDescent="0.25">
      <c r="A410" s="32"/>
      <c r="B410" s="21"/>
      <c r="C410" s="12" t="s">
        <v>25</v>
      </c>
      <c r="D410" s="17">
        <v>0</v>
      </c>
      <c r="E410" s="12" t="s">
        <v>25</v>
      </c>
      <c r="F410" s="17">
        <v>0</v>
      </c>
      <c r="G410" s="12" t="s">
        <v>25</v>
      </c>
      <c r="H410" s="17">
        <v>0</v>
      </c>
      <c r="I410" s="22"/>
      <c r="J410" s="28"/>
      <c r="K410" s="22"/>
    </row>
    <row r="411" spans="1:11" s="4" customFormat="1" x14ac:dyDescent="0.25">
      <c r="A411" s="32" t="s">
        <v>153</v>
      </c>
      <c r="B411" s="21" t="s">
        <v>154</v>
      </c>
      <c r="C411" s="9" t="s">
        <v>28</v>
      </c>
      <c r="D411" s="17">
        <f>D413+D414+D415+D416</f>
        <v>996.35275999999999</v>
      </c>
      <c r="E411" s="9" t="s">
        <v>28</v>
      </c>
      <c r="F411" s="17">
        <f>F413+F414+F415+F416</f>
        <v>0</v>
      </c>
      <c r="G411" s="9" t="s">
        <v>28</v>
      </c>
      <c r="H411" s="17">
        <f>H413+H414+H415+H416</f>
        <v>0</v>
      </c>
      <c r="I411" s="22" t="s">
        <v>104</v>
      </c>
      <c r="J411" s="28"/>
      <c r="K411" s="22" t="s">
        <v>30</v>
      </c>
    </row>
    <row r="412" spans="1:11" s="4" customFormat="1" x14ac:dyDescent="0.25">
      <c r="A412" s="32"/>
      <c r="B412" s="21"/>
      <c r="C412" s="9" t="s">
        <v>21</v>
      </c>
      <c r="D412" s="17"/>
      <c r="E412" s="9" t="s">
        <v>21</v>
      </c>
      <c r="F412" s="17"/>
      <c r="G412" s="9" t="s">
        <v>21</v>
      </c>
      <c r="H412" s="17"/>
      <c r="I412" s="22"/>
      <c r="J412" s="28"/>
      <c r="K412" s="22"/>
    </row>
    <row r="413" spans="1:11" s="4" customFormat="1" x14ac:dyDescent="0.25">
      <c r="A413" s="32"/>
      <c r="B413" s="21"/>
      <c r="C413" s="12" t="s">
        <v>22</v>
      </c>
      <c r="D413" s="17">
        <v>0</v>
      </c>
      <c r="E413" s="12" t="s">
        <v>22</v>
      </c>
      <c r="F413" s="17">
        <v>0</v>
      </c>
      <c r="G413" s="12" t="s">
        <v>22</v>
      </c>
      <c r="H413" s="17">
        <v>0</v>
      </c>
      <c r="I413" s="22"/>
      <c r="J413" s="28"/>
      <c r="K413" s="22"/>
    </row>
    <row r="414" spans="1:11" s="4" customFormat="1" x14ac:dyDescent="0.25">
      <c r="A414" s="32"/>
      <c r="B414" s="21"/>
      <c r="C414" s="12" t="s">
        <v>23</v>
      </c>
      <c r="D414" s="17">
        <v>0</v>
      </c>
      <c r="E414" s="12" t="s">
        <v>23</v>
      </c>
      <c r="F414" s="17">
        <v>0</v>
      </c>
      <c r="G414" s="12" t="s">
        <v>23</v>
      </c>
      <c r="H414" s="17">
        <v>0</v>
      </c>
      <c r="I414" s="22"/>
      <c r="J414" s="28"/>
      <c r="K414" s="22"/>
    </row>
    <row r="415" spans="1:11" s="4" customFormat="1" x14ac:dyDescent="0.25">
      <c r="A415" s="32"/>
      <c r="B415" s="21"/>
      <c r="C415" s="12" t="s">
        <v>24</v>
      </c>
      <c r="D415" s="17">
        <f>996352.76/1000</f>
        <v>996.35275999999999</v>
      </c>
      <c r="E415" s="12" t="s">
        <v>24</v>
      </c>
      <c r="F415" s="17">
        <v>0</v>
      </c>
      <c r="G415" s="12" t="s">
        <v>24</v>
      </c>
      <c r="H415" s="17">
        <v>0</v>
      </c>
      <c r="I415" s="22"/>
      <c r="J415" s="28"/>
      <c r="K415" s="22"/>
    </row>
    <row r="416" spans="1:11" s="4" customFormat="1" x14ac:dyDescent="0.25">
      <c r="A416" s="32"/>
      <c r="B416" s="21"/>
      <c r="C416" s="12" t="s">
        <v>25</v>
      </c>
      <c r="D416" s="17">
        <v>0</v>
      </c>
      <c r="E416" s="12" t="s">
        <v>25</v>
      </c>
      <c r="F416" s="17">
        <v>0</v>
      </c>
      <c r="G416" s="12" t="s">
        <v>25</v>
      </c>
      <c r="H416" s="17">
        <v>0</v>
      </c>
      <c r="I416" s="22"/>
      <c r="J416" s="28"/>
      <c r="K416" s="22"/>
    </row>
    <row r="417" spans="1:11" s="4" customFormat="1" x14ac:dyDescent="0.25">
      <c r="A417" s="32" t="s">
        <v>155</v>
      </c>
      <c r="B417" s="21" t="s">
        <v>156</v>
      </c>
      <c r="C417" s="9" t="s">
        <v>28</v>
      </c>
      <c r="D417" s="17">
        <f>D419+D420+D421+D422</f>
        <v>119.97991</v>
      </c>
      <c r="E417" s="9" t="s">
        <v>28</v>
      </c>
      <c r="F417" s="17">
        <f>F419+F420+F421+F422</f>
        <v>0</v>
      </c>
      <c r="G417" s="9" t="s">
        <v>28</v>
      </c>
      <c r="H417" s="17">
        <f>H419+H420+H421+H422</f>
        <v>0</v>
      </c>
      <c r="I417" s="22" t="s">
        <v>104</v>
      </c>
      <c r="J417" s="28"/>
      <c r="K417" s="22" t="s">
        <v>30</v>
      </c>
    </row>
    <row r="418" spans="1:11" s="4" customFormat="1" x14ac:dyDescent="0.25">
      <c r="A418" s="32"/>
      <c r="B418" s="21"/>
      <c r="C418" s="9" t="s">
        <v>21</v>
      </c>
      <c r="D418" s="17"/>
      <c r="E418" s="9" t="s">
        <v>21</v>
      </c>
      <c r="F418" s="17"/>
      <c r="G418" s="9" t="s">
        <v>21</v>
      </c>
      <c r="H418" s="17"/>
      <c r="I418" s="22"/>
      <c r="J418" s="28"/>
      <c r="K418" s="22"/>
    </row>
    <row r="419" spans="1:11" s="4" customFormat="1" x14ac:dyDescent="0.25">
      <c r="A419" s="32"/>
      <c r="B419" s="21"/>
      <c r="C419" s="12" t="s">
        <v>22</v>
      </c>
      <c r="D419" s="17">
        <v>0</v>
      </c>
      <c r="E419" s="12" t="s">
        <v>22</v>
      </c>
      <c r="F419" s="17">
        <v>0</v>
      </c>
      <c r="G419" s="12" t="s">
        <v>22</v>
      </c>
      <c r="H419" s="17">
        <v>0</v>
      </c>
      <c r="I419" s="22"/>
      <c r="J419" s="28"/>
      <c r="K419" s="22"/>
    </row>
    <row r="420" spans="1:11" s="4" customFormat="1" x14ac:dyDescent="0.25">
      <c r="A420" s="32"/>
      <c r="B420" s="21"/>
      <c r="C420" s="12" t="s">
        <v>23</v>
      </c>
      <c r="D420" s="17">
        <v>0</v>
      </c>
      <c r="E420" s="12" t="s">
        <v>23</v>
      </c>
      <c r="F420" s="17">
        <v>0</v>
      </c>
      <c r="G420" s="12" t="s">
        <v>23</v>
      </c>
      <c r="H420" s="17">
        <v>0</v>
      </c>
      <c r="I420" s="22"/>
      <c r="J420" s="28"/>
      <c r="K420" s="22"/>
    </row>
    <row r="421" spans="1:11" s="4" customFormat="1" x14ac:dyDescent="0.25">
      <c r="A421" s="32"/>
      <c r="B421" s="21"/>
      <c r="C421" s="12" t="s">
        <v>24</v>
      </c>
      <c r="D421" s="17">
        <f>119979.91/1000</f>
        <v>119.97991</v>
      </c>
      <c r="E421" s="12" t="s">
        <v>24</v>
      </c>
      <c r="F421" s="17">
        <v>0</v>
      </c>
      <c r="G421" s="12" t="s">
        <v>24</v>
      </c>
      <c r="H421" s="17">
        <v>0</v>
      </c>
      <c r="I421" s="22"/>
      <c r="J421" s="28"/>
      <c r="K421" s="22"/>
    </row>
    <row r="422" spans="1:11" s="4" customFormat="1" x14ac:dyDescent="0.25">
      <c r="A422" s="32"/>
      <c r="B422" s="21"/>
      <c r="C422" s="12" t="s">
        <v>25</v>
      </c>
      <c r="D422" s="17">
        <v>0</v>
      </c>
      <c r="E422" s="12" t="s">
        <v>25</v>
      </c>
      <c r="F422" s="17">
        <v>0</v>
      </c>
      <c r="G422" s="12" t="s">
        <v>25</v>
      </c>
      <c r="H422" s="17">
        <v>0</v>
      </c>
      <c r="I422" s="22"/>
      <c r="J422" s="28"/>
      <c r="K422" s="22"/>
    </row>
    <row r="423" spans="1:11" s="4" customFormat="1" x14ac:dyDescent="0.25">
      <c r="A423" s="32" t="s">
        <v>157</v>
      </c>
      <c r="B423" s="21" t="s">
        <v>158</v>
      </c>
      <c r="C423" s="9" t="s">
        <v>28</v>
      </c>
      <c r="D423" s="17">
        <f>D425+D426+D427+D428</f>
        <v>73</v>
      </c>
      <c r="E423" s="9" t="s">
        <v>28</v>
      </c>
      <c r="F423" s="17">
        <f>F425+F426+F427+F428</f>
        <v>0</v>
      </c>
      <c r="G423" s="9" t="s">
        <v>28</v>
      </c>
      <c r="H423" s="17">
        <f>H425+H426+H427+H428</f>
        <v>0</v>
      </c>
      <c r="I423" s="22" t="s">
        <v>104</v>
      </c>
      <c r="J423" s="28"/>
      <c r="K423" s="22" t="s">
        <v>30</v>
      </c>
    </row>
    <row r="424" spans="1:11" s="4" customFormat="1" x14ac:dyDescent="0.25">
      <c r="A424" s="32"/>
      <c r="B424" s="21"/>
      <c r="C424" s="9" t="s">
        <v>21</v>
      </c>
      <c r="D424" s="17"/>
      <c r="E424" s="9" t="s">
        <v>21</v>
      </c>
      <c r="F424" s="17"/>
      <c r="G424" s="9" t="s">
        <v>21</v>
      </c>
      <c r="H424" s="17"/>
      <c r="I424" s="22"/>
      <c r="J424" s="28"/>
      <c r="K424" s="22"/>
    </row>
    <row r="425" spans="1:11" s="4" customFormat="1" x14ac:dyDescent="0.25">
      <c r="A425" s="32"/>
      <c r="B425" s="21"/>
      <c r="C425" s="12" t="s">
        <v>22</v>
      </c>
      <c r="D425" s="17">
        <v>0</v>
      </c>
      <c r="E425" s="12" t="s">
        <v>22</v>
      </c>
      <c r="F425" s="17">
        <v>0</v>
      </c>
      <c r="G425" s="12" t="s">
        <v>22</v>
      </c>
      <c r="H425" s="17">
        <v>0</v>
      </c>
      <c r="I425" s="22"/>
      <c r="J425" s="28"/>
      <c r="K425" s="22"/>
    </row>
    <row r="426" spans="1:11" s="4" customFormat="1" x14ac:dyDescent="0.25">
      <c r="A426" s="32"/>
      <c r="B426" s="21"/>
      <c r="C426" s="12" t="s">
        <v>23</v>
      </c>
      <c r="D426" s="17">
        <v>0</v>
      </c>
      <c r="E426" s="12" t="s">
        <v>23</v>
      </c>
      <c r="F426" s="17">
        <v>0</v>
      </c>
      <c r="G426" s="12" t="s">
        <v>23</v>
      </c>
      <c r="H426" s="17">
        <v>0</v>
      </c>
      <c r="I426" s="22"/>
      <c r="J426" s="28"/>
      <c r="K426" s="22"/>
    </row>
    <row r="427" spans="1:11" s="4" customFormat="1" x14ac:dyDescent="0.25">
      <c r="A427" s="32"/>
      <c r="B427" s="21"/>
      <c r="C427" s="12" t="s">
        <v>24</v>
      </c>
      <c r="D427" s="17">
        <f>73000/1000</f>
        <v>73</v>
      </c>
      <c r="E427" s="12" t="s">
        <v>24</v>
      </c>
      <c r="F427" s="17">
        <v>0</v>
      </c>
      <c r="G427" s="12" t="s">
        <v>24</v>
      </c>
      <c r="H427" s="17">
        <v>0</v>
      </c>
      <c r="I427" s="22"/>
      <c r="J427" s="28"/>
      <c r="K427" s="22"/>
    </row>
    <row r="428" spans="1:11" s="4" customFormat="1" x14ac:dyDescent="0.25">
      <c r="A428" s="32"/>
      <c r="B428" s="21"/>
      <c r="C428" s="12" t="s">
        <v>25</v>
      </c>
      <c r="D428" s="17">
        <v>0</v>
      </c>
      <c r="E428" s="12" t="s">
        <v>25</v>
      </c>
      <c r="F428" s="17">
        <v>0</v>
      </c>
      <c r="G428" s="12" t="s">
        <v>25</v>
      </c>
      <c r="H428" s="17">
        <v>0</v>
      </c>
      <c r="I428" s="22"/>
      <c r="J428" s="28"/>
      <c r="K428" s="22"/>
    </row>
    <row r="429" spans="1:11" s="4" customFormat="1" x14ac:dyDescent="0.25">
      <c r="A429" s="32" t="s">
        <v>159</v>
      </c>
      <c r="B429" s="21" t="s">
        <v>160</v>
      </c>
      <c r="C429" s="9" t="s">
        <v>28</v>
      </c>
      <c r="D429" s="17">
        <f>D431+D432+D433+D434</f>
        <v>143.81901000000002</v>
      </c>
      <c r="E429" s="9" t="s">
        <v>28</v>
      </c>
      <c r="F429" s="17">
        <f>F431+F432+F433+F434</f>
        <v>0</v>
      </c>
      <c r="G429" s="9" t="s">
        <v>28</v>
      </c>
      <c r="H429" s="17">
        <f>H431+H432+H433+H434</f>
        <v>0</v>
      </c>
      <c r="I429" s="22" t="s">
        <v>104</v>
      </c>
      <c r="J429" s="28"/>
      <c r="K429" s="22" t="s">
        <v>30</v>
      </c>
    </row>
    <row r="430" spans="1:11" s="4" customFormat="1" x14ac:dyDescent="0.25">
      <c r="A430" s="32"/>
      <c r="B430" s="21"/>
      <c r="C430" s="9" t="s">
        <v>21</v>
      </c>
      <c r="D430" s="17"/>
      <c r="E430" s="9" t="s">
        <v>21</v>
      </c>
      <c r="F430" s="17"/>
      <c r="G430" s="9" t="s">
        <v>21</v>
      </c>
      <c r="H430" s="17"/>
      <c r="I430" s="22"/>
      <c r="J430" s="28"/>
      <c r="K430" s="22"/>
    </row>
    <row r="431" spans="1:11" s="4" customFormat="1" x14ac:dyDescent="0.25">
      <c r="A431" s="32"/>
      <c r="B431" s="21"/>
      <c r="C431" s="12" t="s">
        <v>22</v>
      </c>
      <c r="D431" s="17">
        <v>0</v>
      </c>
      <c r="E431" s="12" t="s">
        <v>22</v>
      </c>
      <c r="F431" s="17">
        <v>0</v>
      </c>
      <c r="G431" s="12" t="s">
        <v>22</v>
      </c>
      <c r="H431" s="17">
        <v>0</v>
      </c>
      <c r="I431" s="22"/>
      <c r="J431" s="28"/>
      <c r="K431" s="22"/>
    </row>
    <row r="432" spans="1:11" s="4" customFormat="1" x14ac:dyDescent="0.25">
      <c r="A432" s="32"/>
      <c r="B432" s="21"/>
      <c r="C432" s="12" t="s">
        <v>23</v>
      </c>
      <c r="D432" s="17">
        <v>0</v>
      </c>
      <c r="E432" s="12" t="s">
        <v>23</v>
      </c>
      <c r="F432" s="17">
        <v>0</v>
      </c>
      <c r="G432" s="12" t="s">
        <v>23</v>
      </c>
      <c r="H432" s="17">
        <v>0</v>
      </c>
      <c r="I432" s="22"/>
      <c r="J432" s="28"/>
      <c r="K432" s="22"/>
    </row>
    <row r="433" spans="1:11" s="4" customFormat="1" x14ac:dyDescent="0.25">
      <c r="A433" s="32"/>
      <c r="B433" s="21"/>
      <c r="C433" s="12" t="s">
        <v>24</v>
      </c>
      <c r="D433" s="17">
        <f>143819.01/1000</f>
        <v>143.81901000000002</v>
      </c>
      <c r="E433" s="12" t="s">
        <v>24</v>
      </c>
      <c r="F433" s="17">
        <v>0</v>
      </c>
      <c r="G433" s="12" t="s">
        <v>24</v>
      </c>
      <c r="H433" s="17">
        <v>0</v>
      </c>
      <c r="I433" s="22"/>
      <c r="J433" s="28"/>
      <c r="K433" s="22"/>
    </row>
    <row r="434" spans="1:11" s="4" customFormat="1" x14ac:dyDescent="0.25">
      <c r="A434" s="32"/>
      <c r="B434" s="21"/>
      <c r="C434" s="12" t="s">
        <v>25</v>
      </c>
      <c r="D434" s="17">
        <v>0</v>
      </c>
      <c r="E434" s="12" t="s">
        <v>25</v>
      </c>
      <c r="F434" s="17">
        <v>0</v>
      </c>
      <c r="G434" s="12" t="s">
        <v>25</v>
      </c>
      <c r="H434" s="17">
        <v>0</v>
      </c>
      <c r="I434" s="22"/>
      <c r="J434" s="28"/>
      <c r="K434" s="22"/>
    </row>
    <row r="435" spans="1:11" s="4" customFormat="1" x14ac:dyDescent="0.25">
      <c r="A435" s="32" t="s">
        <v>161</v>
      </c>
      <c r="B435" s="21" t="s">
        <v>95</v>
      </c>
      <c r="C435" s="9" t="s">
        <v>28</v>
      </c>
      <c r="D435" s="17">
        <f>D437+D438+D439+D440</f>
        <v>7.5700000000000003E-2</v>
      </c>
      <c r="E435" s="9" t="s">
        <v>28</v>
      </c>
      <c r="F435" s="17">
        <f>F437+F438+F439+F440</f>
        <v>0</v>
      </c>
      <c r="G435" s="9" t="s">
        <v>28</v>
      </c>
      <c r="H435" s="17">
        <f>H437+H438+H439+H440</f>
        <v>780.9</v>
      </c>
      <c r="I435" s="22" t="s">
        <v>104</v>
      </c>
      <c r="J435" s="28"/>
      <c r="K435" s="22" t="s">
        <v>30</v>
      </c>
    </row>
    <row r="436" spans="1:11" s="4" customFormat="1" x14ac:dyDescent="0.25">
      <c r="A436" s="32"/>
      <c r="B436" s="21"/>
      <c r="C436" s="9" t="s">
        <v>21</v>
      </c>
      <c r="D436" s="17"/>
      <c r="E436" s="9" t="s">
        <v>21</v>
      </c>
      <c r="F436" s="17"/>
      <c r="G436" s="9" t="s">
        <v>21</v>
      </c>
      <c r="H436" s="17"/>
      <c r="I436" s="22"/>
      <c r="J436" s="28"/>
      <c r="K436" s="22"/>
    </row>
    <row r="437" spans="1:11" s="4" customFormat="1" x14ac:dyDescent="0.25">
      <c r="A437" s="32"/>
      <c r="B437" s="21"/>
      <c r="C437" s="12" t="s">
        <v>22</v>
      </c>
      <c r="D437" s="17">
        <v>0</v>
      </c>
      <c r="E437" s="12" t="s">
        <v>22</v>
      </c>
      <c r="F437" s="17">
        <v>0</v>
      </c>
      <c r="G437" s="12" t="s">
        <v>22</v>
      </c>
      <c r="H437" s="17">
        <v>0</v>
      </c>
      <c r="I437" s="22"/>
      <c r="J437" s="28"/>
      <c r="K437" s="22"/>
    </row>
    <row r="438" spans="1:11" s="4" customFormat="1" x14ac:dyDescent="0.25">
      <c r="A438" s="32"/>
      <c r="B438" s="21"/>
      <c r="C438" s="12" t="s">
        <v>23</v>
      </c>
      <c r="D438" s="17">
        <v>0</v>
      </c>
      <c r="E438" s="12" t="s">
        <v>23</v>
      </c>
      <c r="F438" s="17">
        <v>0</v>
      </c>
      <c r="G438" s="12" t="s">
        <v>23</v>
      </c>
      <c r="H438" s="17">
        <v>0</v>
      </c>
      <c r="I438" s="22"/>
      <c r="J438" s="28"/>
      <c r="K438" s="22"/>
    </row>
    <row r="439" spans="1:11" s="4" customFormat="1" x14ac:dyDescent="0.25">
      <c r="A439" s="32"/>
      <c r="B439" s="21"/>
      <c r="C439" s="12" t="s">
        <v>24</v>
      </c>
      <c r="D439" s="17">
        <f>75.7/1000</f>
        <v>7.5700000000000003E-2</v>
      </c>
      <c r="E439" s="12" t="s">
        <v>24</v>
      </c>
      <c r="F439" s="17">
        <v>0</v>
      </c>
      <c r="G439" s="12" t="s">
        <v>24</v>
      </c>
      <c r="H439" s="17">
        <v>780.9</v>
      </c>
      <c r="I439" s="22"/>
      <c r="J439" s="28"/>
      <c r="K439" s="22"/>
    </row>
    <row r="440" spans="1:11" s="4" customFormat="1" x14ac:dyDescent="0.25">
      <c r="A440" s="32"/>
      <c r="B440" s="21"/>
      <c r="C440" s="12" t="s">
        <v>25</v>
      </c>
      <c r="D440" s="17">
        <v>0</v>
      </c>
      <c r="E440" s="12" t="s">
        <v>25</v>
      </c>
      <c r="F440" s="17">
        <v>0</v>
      </c>
      <c r="G440" s="12" t="s">
        <v>25</v>
      </c>
      <c r="H440" s="17">
        <v>0</v>
      </c>
      <c r="I440" s="22"/>
      <c r="J440" s="28"/>
      <c r="K440" s="22"/>
    </row>
    <row r="441" spans="1:11" s="4" customFormat="1" x14ac:dyDescent="0.25">
      <c r="A441" s="32" t="s">
        <v>162</v>
      </c>
      <c r="B441" s="21" t="s">
        <v>163</v>
      </c>
      <c r="C441" s="9" t="s">
        <v>28</v>
      </c>
      <c r="D441" s="17">
        <f>D443+D444+D445+D446</f>
        <v>17102.563840000003</v>
      </c>
      <c r="E441" s="9" t="s">
        <v>28</v>
      </c>
      <c r="F441" s="17">
        <f>F443+F444+F445+F446</f>
        <v>20413.669999999998</v>
      </c>
      <c r="G441" s="9" t="s">
        <v>28</v>
      </c>
      <c r="H441" s="17">
        <f>H443+H444+H445+H446</f>
        <v>23210.5</v>
      </c>
      <c r="I441" s="22" t="s">
        <v>104</v>
      </c>
      <c r="J441" s="28"/>
      <c r="K441" s="22" t="s">
        <v>30</v>
      </c>
    </row>
    <row r="442" spans="1:11" s="4" customFormat="1" x14ac:dyDescent="0.25">
      <c r="A442" s="32"/>
      <c r="B442" s="21"/>
      <c r="C442" s="9" t="s">
        <v>21</v>
      </c>
      <c r="D442" s="17"/>
      <c r="E442" s="9" t="s">
        <v>21</v>
      </c>
      <c r="F442" s="17"/>
      <c r="G442" s="9" t="s">
        <v>21</v>
      </c>
      <c r="H442" s="17"/>
      <c r="I442" s="22"/>
      <c r="J442" s="28"/>
      <c r="K442" s="22"/>
    </row>
    <row r="443" spans="1:11" s="4" customFormat="1" x14ac:dyDescent="0.25">
      <c r="A443" s="32"/>
      <c r="B443" s="21"/>
      <c r="C443" s="12" t="s">
        <v>22</v>
      </c>
      <c r="D443" s="17">
        <f>D449+D455+D461+D467+D473+D479+D485+D491+D497+D503+D509+D515+D521+D527+D533+D539+D545+D551+D557+D563+D569+D575+D581+D587+D593</f>
        <v>0</v>
      </c>
      <c r="E443" s="12" t="s">
        <v>22</v>
      </c>
      <c r="F443" s="17">
        <f>F449+F455+F461+F467+F473+F479+F485+F491+F497+F503+F509+F515+F521+F527+F533+F539+F545+F551+F557+F563+F569+F575+F581+F587+F593</f>
        <v>0</v>
      </c>
      <c r="G443" s="12" t="s">
        <v>22</v>
      </c>
      <c r="H443" s="17">
        <f>H449+H455+H461+H467+H473+H479+H485+H491+H497+H503+H509+H515+H521+H527+H533+H539+H545+H551+H557+H563+H569+H575+H581+H587+H593</f>
        <v>0</v>
      </c>
      <c r="I443" s="22"/>
      <c r="J443" s="28"/>
      <c r="K443" s="22"/>
    </row>
    <row r="444" spans="1:11" s="4" customFormat="1" x14ac:dyDescent="0.25">
      <c r="A444" s="32"/>
      <c r="B444" s="21"/>
      <c r="C444" s="12" t="s">
        <v>23</v>
      </c>
      <c r="D444" s="17">
        <f t="shared" ref="D444:F446" si="38">D450+D456+D462+D468+D474+D480+D486+D492+D498+D504+D510+D516+D522+D528+D534+D540+D546+D552+D558+D564+D570+D576+D582+D588+D594</f>
        <v>0</v>
      </c>
      <c r="E444" s="12" t="s">
        <v>23</v>
      </c>
      <c r="F444" s="17">
        <f t="shared" si="38"/>
        <v>0</v>
      </c>
      <c r="G444" s="12" t="s">
        <v>23</v>
      </c>
      <c r="H444" s="17">
        <f t="shared" ref="H444:H446" si="39">H450+H456+H462+H468+H474+H480+H486+H492+H498+H504+H510+H516+H522+H528+H534+H540+H546+H552+H558+H564+H570+H576+H582+H588+H594</f>
        <v>0</v>
      </c>
      <c r="I444" s="22"/>
      <c r="J444" s="28"/>
      <c r="K444" s="22"/>
    </row>
    <row r="445" spans="1:11" s="4" customFormat="1" x14ac:dyDescent="0.25">
      <c r="A445" s="32"/>
      <c r="B445" s="21"/>
      <c r="C445" s="12" t="s">
        <v>24</v>
      </c>
      <c r="D445" s="17">
        <f t="shared" si="38"/>
        <v>17102.563840000003</v>
      </c>
      <c r="E445" s="12" t="s">
        <v>24</v>
      </c>
      <c r="F445" s="17">
        <f t="shared" si="38"/>
        <v>20413.669999999998</v>
      </c>
      <c r="G445" s="12" t="s">
        <v>24</v>
      </c>
      <c r="H445" s="17">
        <f t="shared" si="39"/>
        <v>23210.5</v>
      </c>
      <c r="I445" s="22"/>
      <c r="J445" s="28"/>
      <c r="K445" s="22"/>
    </row>
    <row r="446" spans="1:11" s="4" customFormat="1" x14ac:dyDescent="0.25">
      <c r="A446" s="32"/>
      <c r="B446" s="21"/>
      <c r="C446" s="12" t="s">
        <v>25</v>
      </c>
      <c r="D446" s="17">
        <f t="shared" si="38"/>
        <v>0</v>
      </c>
      <c r="E446" s="12" t="s">
        <v>25</v>
      </c>
      <c r="F446" s="17">
        <f t="shared" si="38"/>
        <v>0</v>
      </c>
      <c r="G446" s="12" t="s">
        <v>25</v>
      </c>
      <c r="H446" s="17">
        <f t="shared" si="39"/>
        <v>0</v>
      </c>
      <c r="I446" s="22"/>
      <c r="J446" s="28"/>
      <c r="K446" s="22"/>
    </row>
    <row r="447" spans="1:11" s="4" customFormat="1" x14ac:dyDescent="0.25">
      <c r="A447" s="32" t="s">
        <v>164</v>
      </c>
      <c r="B447" s="21" t="s">
        <v>150</v>
      </c>
      <c r="C447" s="9" t="s">
        <v>28</v>
      </c>
      <c r="D447" s="17">
        <f>D449+D450+D451+D452</f>
        <v>11232.2</v>
      </c>
      <c r="E447" s="9" t="s">
        <v>28</v>
      </c>
      <c r="F447" s="17">
        <f>F449+F450+F451+F452</f>
        <v>12045.66</v>
      </c>
      <c r="G447" s="9" t="s">
        <v>28</v>
      </c>
      <c r="H447" s="17">
        <f>H449+H450+H451+H452</f>
        <v>23210.5</v>
      </c>
      <c r="I447" s="22" t="s">
        <v>104</v>
      </c>
      <c r="J447" s="28"/>
      <c r="K447" s="22" t="s">
        <v>30</v>
      </c>
    </row>
    <row r="448" spans="1:11" s="4" customFormat="1" x14ac:dyDescent="0.25">
      <c r="A448" s="32"/>
      <c r="B448" s="21"/>
      <c r="C448" s="9" t="s">
        <v>21</v>
      </c>
      <c r="D448" s="17"/>
      <c r="E448" s="9" t="s">
        <v>21</v>
      </c>
      <c r="F448" s="17"/>
      <c r="G448" s="9" t="s">
        <v>21</v>
      </c>
      <c r="H448" s="17"/>
      <c r="I448" s="22"/>
      <c r="J448" s="28"/>
      <c r="K448" s="22"/>
    </row>
    <row r="449" spans="1:11" s="4" customFormat="1" x14ac:dyDescent="0.25">
      <c r="A449" s="32"/>
      <c r="B449" s="21"/>
      <c r="C449" s="12" t="s">
        <v>22</v>
      </c>
      <c r="D449" s="17">
        <v>0</v>
      </c>
      <c r="E449" s="12" t="s">
        <v>22</v>
      </c>
      <c r="F449" s="17">
        <v>0</v>
      </c>
      <c r="G449" s="12" t="s">
        <v>22</v>
      </c>
      <c r="H449" s="17">
        <v>0</v>
      </c>
      <c r="I449" s="22"/>
      <c r="J449" s="28"/>
      <c r="K449" s="22"/>
    </row>
    <row r="450" spans="1:11" s="4" customFormat="1" x14ac:dyDescent="0.25">
      <c r="A450" s="32"/>
      <c r="B450" s="21"/>
      <c r="C450" s="12" t="s">
        <v>23</v>
      </c>
      <c r="D450" s="17">
        <v>0</v>
      </c>
      <c r="E450" s="12" t="s">
        <v>23</v>
      </c>
      <c r="F450" s="17">
        <v>0</v>
      </c>
      <c r="G450" s="12" t="s">
        <v>23</v>
      </c>
      <c r="H450" s="17">
        <v>0</v>
      </c>
      <c r="I450" s="22"/>
      <c r="J450" s="28"/>
      <c r="K450" s="22"/>
    </row>
    <row r="451" spans="1:11" s="4" customFormat="1" x14ac:dyDescent="0.25">
      <c r="A451" s="32"/>
      <c r="B451" s="21"/>
      <c r="C451" s="12" t="s">
        <v>24</v>
      </c>
      <c r="D451" s="17">
        <f>17102.58-5870.38</f>
        <v>11232.2</v>
      </c>
      <c r="E451" s="12" t="s">
        <v>24</v>
      </c>
      <c r="F451" s="17">
        <v>12045.66</v>
      </c>
      <c r="G451" s="12" t="s">
        <v>24</v>
      </c>
      <c r="H451" s="17">
        <v>23210.5</v>
      </c>
      <c r="I451" s="22"/>
      <c r="J451" s="28"/>
      <c r="K451" s="22"/>
    </row>
    <row r="452" spans="1:11" s="4" customFormat="1" x14ac:dyDescent="0.25">
      <c r="A452" s="32"/>
      <c r="B452" s="21"/>
      <c r="C452" s="12" t="s">
        <v>25</v>
      </c>
      <c r="D452" s="17">
        <v>0</v>
      </c>
      <c r="E452" s="12" t="s">
        <v>25</v>
      </c>
      <c r="F452" s="17">
        <v>0</v>
      </c>
      <c r="G452" s="12" t="s">
        <v>25</v>
      </c>
      <c r="H452" s="17">
        <v>0</v>
      </c>
      <c r="I452" s="22"/>
      <c r="J452" s="28"/>
      <c r="K452" s="22"/>
    </row>
    <row r="453" spans="1:11" s="4" customFormat="1" x14ac:dyDescent="0.25">
      <c r="A453" s="32" t="s">
        <v>165</v>
      </c>
      <c r="B453" s="21" t="s">
        <v>166</v>
      </c>
      <c r="C453" s="9" t="s">
        <v>28</v>
      </c>
      <c r="D453" s="17">
        <f>D455+D456+D457+D458</f>
        <v>578.73</v>
      </c>
      <c r="E453" s="9" t="s">
        <v>28</v>
      </c>
      <c r="F453" s="17">
        <f>F455+F456+F457+F458</f>
        <v>0</v>
      </c>
      <c r="G453" s="9" t="s">
        <v>28</v>
      </c>
      <c r="H453" s="17">
        <f>H455+H456+H457+H458</f>
        <v>0</v>
      </c>
      <c r="I453" s="22" t="s">
        <v>104</v>
      </c>
      <c r="J453" s="28"/>
      <c r="K453" s="22" t="s">
        <v>30</v>
      </c>
    </row>
    <row r="454" spans="1:11" s="4" customFormat="1" x14ac:dyDescent="0.25">
      <c r="A454" s="32"/>
      <c r="B454" s="21"/>
      <c r="C454" s="9" t="s">
        <v>21</v>
      </c>
      <c r="D454" s="17"/>
      <c r="E454" s="9" t="s">
        <v>21</v>
      </c>
      <c r="F454" s="17"/>
      <c r="G454" s="9" t="s">
        <v>21</v>
      </c>
      <c r="H454" s="17"/>
      <c r="I454" s="22"/>
      <c r="J454" s="28"/>
      <c r="K454" s="22"/>
    </row>
    <row r="455" spans="1:11" s="4" customFormat="1" x14ac:dyDescent="0.25">
      <c r="A455" s="32"/>
      <c r="B455" s="21"/>
      <c r="C455" s="12" t="s">
        <v>22</v>
      </c>
      <c r="D455" s="17">
        <v>0</v>
      </c>
      <c r="E455" s="12" t="s">
        <v>22</v>
      </c>
      <c r="F455" s="17">
        <v>0</v>
      </c>
      <c r="G455" s="12" t="s">
        <v>22</v>
      </c>
      <c r="H455" s="17">
        <v>0</v>
      </c>
      <c r="I455" s="22"/>
      <c r="J455" s="28"/>
      <c r="K455" s="22"/>
    </row>
    <row r="456" spans="1:11" s="4" customFormat="1" x14ac:dyDescent="0.25">
      <c r="A456" s="32"/>
      <c r="B456" s="21"/>
      <c r="C456" s="12" t="s">
        <v>23</v>
      </c>
      <c r="D456" s="17">
        <v>0</v>
      </c>
      <c r="E456" s="12" t="s">
        <v>23</v>
      </c>
      <c r="F456" s="17">
        <v>0</v>
      </c>
      <c r="G456" s="12" t="s">
        <v>23</v>
      </c>
      <c r="H456" s="17">
        <v>0</v>
      </c>
      <c r="I456" s="22"/>
      <c r="J456" s="28"/>
      <c r="K456" s="22"/>
    </row>
    <row r="457" spans="1:11" s="4" customFormat="1" x14ac:dyDescent="0.25">
      <c r="A457" s="32"/>
      <c r="B457" s="21"/>
      <c r="C457" s="12" t="s">
        <v>24</v>
      </c>
      <c r="D457" s="17">
        <f>578730/1000</f>
        <v>578.73</v>
      </c>
      <c r="E457" s="12" t="s">
        <v>24</v>
      </c>
      <c r="F457" s="17">
        <v>0</v>
      </c>
      <c r="G457" s="12" t="s">
        <v>24</v>
      </c>
      <c r="H457" s="17">
        <v>0</v>
      </c>
      <c r="I457" s="22"/>
      <c r="J457" s="28"/>
      <c r="K457" s="22"/>
    </row>
    <row r="458" spans="1:11" s="4" customFormat="1" x14ac:dyDescent="0.25">
      <c r="A458" s="32"/>
      <c r="B458" s="21"/>
      <c r="C458" s="12" t="s">
        <v>25</v>
      </c>
      <c r="D458" s="17">
        <v>0</v>
      </c>
      <c r="E458" s="12" t="s">
        <v>25</v>
      </c>
      <c r="F458" s="17">
        <v>0</v>
      </c>
      <c r="G458" s="12" t="s">
        <v>25</v>
      </c>
      <c r="H458" s="17">
        <v>0</v>
      </c>
      <c r="I458" s="22"/>
      <c r="J458" s="28"/>
      <c r="K458" s="22"/>
    </row>
    <row r="459" spans="1:11" s="4" customFormat="1" x14ac:dyDescent="0.25">
      <c r="A459" s="32" t="s">
        <v>167</v>
      </c>
      <c r="B459" s="21" t="s">
        <v>168</v>
      </c>
      <c r="C459" s="9" t="s">
        <v>28</v>
      </c>
      <c r="D459" s="17">
        <f>D461+D462+D463+D464</f>
        <v>566.21997999999996</v>
      </c>
      <c r="E459" s="9" t="s">
        <v>28</v>
      </c>
      <c r="F459" s="17">
        <f>F461+F462+F463+F464</f>
        <v>0</v>
      </c>
      <c r="G459" s="9" t="s">
        <v>28</v>
      </c>
      <c r="H459" s="17">
        <f>H461+H462+H463+H464</f>
        <v>0</v>
      </c>
      <c r="I459" s="22" t="s">
        <v>104</v>
      </c>
      <c r="J459" s="28"/>
      <c r="K459" s="22" t="s">
        <v>30</v>
      </c>
    </row>
    <row r="460" spans="1:11" s="4" customFormat="1" x14ac:dyDescent="0.25">
      <c r="A460" s="32"/>
      <c r="B460" s="21"/>
      <c r="C460" s="9" t="s">
        <v>21</v>
      </c>
      <c r="D460" s="17"/>
      <c r="E460" s="9" t="s">
        <v>21</v>
      </c>
      <c r="F460" s="17"/>
      <c r="G460" s="9" t="s">
        <v>21</v>
      </c>
      <c r="H460" s="17"/>
      <c r="I460" s="22"/>
      <c r="J460" s="28"/>
      <c r="K460" s="22"/>
    </row>
    <row r="461" spans="1:11" s="4" customFormat="1" x14ac:dyDescent="0.25">
      <c r="A461" s="32"/>
      <c r="B461" s="21"/>
      <c r="C461" s="12" t="s">
        <v>22</v>
      </c>
      <c r="D461" s="17">
        <v>0</v>
      </c>
      <c r="E461" s="12" t="s">
        <v>22</v>
      </c>
      <c r="F461" s="17">
        <v>0</v>
      </c>
      <c r="G461" s="12" t="s">
        <v>22</v>
      </c>
      <c r="H461" s="17">
        <v>0</v>
      </c>
      <c r="I461" s="22"/>
      <c r="J461" s="28"/>
      <c r="K461" s="22"/>
    </row>
    <row r="462" spans="1:11" s="4" customFormat="1" x14ac:dyDescent="0.25">
      <c r="A462" s="32"/>
      <c r="B462" s="21"/>
      <c r="C462" s="12" t="s">
        <v>23</v>
      </c>
      <c r="D462" s="17">
        <v>0</v>
      </c>
      <c r="E462" s="12" t="s">
        <v>23</v>
      </c>
      <c r="F462" s="17">
        <v>0</v>
      </c>
      <c r="G462" s="12" t="s">
        <v>23</v>
      </c>
      <c r="H462" s="17">
        <v>0</v>
      </c>
      <c r="I462" s="22"/>
      <c r="J462" s="28"/>
      <c r="K462" s="22"/>
    </row>
    <row r="463" spans="1:11" s="4" customFormat="1" x14ac:dyDescent="0.25">
      <c r="A463" s="32"/>
      <c r="B463" s="21"/>
      <c r="C463" s="12" t="s">
        <v>24</v>
      </c>
      <c r="D463" s="17">
        <f>566219.98/1000</f>
        <v>566.21997999999996</v>
      </c>
      <c r="E463" s="12" t="s">
        <v>24</v>
      </c>
      <c r="F463" s="17">
        <v>0</v>
      </c>
      <c r="G463" s="12" t="s">
        <v>24</v>
      </c>
      <c r="H463" s="17">
        <v>0</v>
      </c>
      <c r="I463" s="22"/>
      <c r="J463" s="28"/>
      <c r="K463" s="22"/>
    </row>
    <row r="464" spans="1:11" s="4" customFormat="1" x14ac:dyDescent="0.25">
      <c r="A464" s="32"/>
      <c r="B464" s="21"/>
      <c r="C464" s="12" t="s">
        <v>25</v>
      </c>
      <c r="D464" s="17">
        <v>0</v>
      </c>
      <c r="E464" s="12" t="s">
        <v>25</v>
      </c>
      <c r="F464" s="17">
        <v>0</v>
      </c>
      <c r="G464" s="12" t="s">
        <v>25</v>
      </c>
      <c r="H464" s="17">
        <v>0</v>
      </c>
      <c r="I464" s="22"/>
      <c r="J464" s="28"/>
      <c r="K464" s="22"/>
    </row>
    <row r="465" spans="1:11" s="4" customFormat="1" x14ac:dyDescent="0.25">
      <c r="A465" s="32" t="s">
        <v>169</v>
      </c>
      <c r="B465" s="21" t="s">
        <v>170</v>
      </c>
      <c r="C465" s="9" t="s">
        <v>28</v>
      </c>
      <c r="D465" s="17">
        <f>D467+D468+D469+D470</f>
        <v>599.97501</v>
      </c>
      <c r="E465" s="9" t="s">
        <v>28</v>
      </c>
      <c r="F465" s="17">
        <f>F467+F468+F469+F470</f>
        <v>0</v>
      </c>
      <c r="G465" s="9" t="s">
        <v>28</v>
      </c>
      <c r="H465" s="17">
        <f>H467+H468+H469+H470</f>
        <v>0</v>
      </c>
      <c r="I465" s="22" t="s">
        <v>104</v>
      </c>
      <c r="J465" s="28"/>
      <c r="K465" s="22" t="s">
        <v>30</v>
      </c>
    </row>
    <row r="466" spans="1:11" s="4" customFormat="1" x14ac:dyDescent="0.25">
      <c r="A466" s="32"/>
      <c r="B466" s="21"/>
      <c r="C466" s="9" t="s">
        <v>21</v>
      </c>
      <c r="D466" s="17"/>
      <c r="E466" s="9" t="s">
        <v>21</v>
      </c>
      <c r="F466" s="17"/>
      <c r="G466" s="9" t="s">
        <v>21</v>
      </c>
      <c r="H466" s="17"/>
      <c r="I466" s="22"/>
      <c r="J466" s="28"/>
      <c r="K466" s="22"/>
    </row>
    <row r="467" spans="1:11" s="4" customFormat="1" x14ac:dyDescent="0.25">
      <c r="A467" s="32"/>
      <c r="B467" s="21"/>
      <c r="C467" s="12" t="s">
        <v>22</v>
      </c>
      <c r="D467" s="17">
        <v>0</v>
      </c>
      <c r="E467" s="12" t="s">
        <v>22</v>
      </c>
      <c r="F467" s="17">
        <v>0</v>
      </c>
      <c r="G467" s="12" t="s">
        <v>22</v>
      </c>
      <c r="H467" s="17">
        <v>0</v>
      </c>
      <c r="I467" s="22"/>
      <c r="J467" s="28"/>
      <c r="K467" s="22"/>
    </row>
    <row r="468" spans="1:11" s="4" customFormat="1" x14ac:dyDescent="0.25">
      <c r="A468" s="32"/>
      <c r="B468" s="21"/>
      <c r="C468" s="12" t="s">
        <v>23</v>
      </c>
      <c r="D468" s="17">
        <v>0</v>
      </c>
      <c r="E468" s="12" t="s">
        <v>23</v>
      </c>
      <c r="F468" s="17">
        <v>0</v>
      </c>
      <c r="G468" s="12" t="s">
        <v>23</v>
      </c>
      <c r="H468" s="17">
        <v>0</v>
      </c>
      <c r="I468" s="22"/>
      <c r="J468" s="28"/>
      <c r="K468" s="22"/>
    </row>
    <row r="469" spans="1:11" s="4" customFormat="1" x14ac:dyDescent="0.25">
      <c r="A469" s="32"/>
      <c r="B469" s="21"/>
      <c r="C469" s="12" t="s">
        <v>24</v>
      </c>
      <c r="D469" s="17">
        <f>599975.01/1000</f>
        <v>599.97501</v>
      </c>
      <c r="E469" s="12" t="s">
        <v>24</v>
      </c>
      <c r="F469" s="17">
        <v>0</v>
      </c>
      <c r="G469" s="12" t="s">
        <v>24</v>
      </c>
      <c r="H469" s="17">
        <v>0</v>
      </c>
      <c r="I469" s="22"/>
      <c r="J469" s="28"/>
      <c r="K469" s="22"/>
    </row>
    <row r="470" spans="1:11" s="4" customFormat="1" x14ac:dyDescent="0.25">
      <c r="A470" s="32"/>
      <c r="B470" s="21"/>
      <c r="C470" s="12" t="s">
        <v>25</v>
      </c>
      <c r="D470" s="17">
        <v>0</v>
      </c>
      <c r="E470" s="12" t="s">
        <v>25</v>
      </c>
      <c r="F470" s="17">
        <v>0</v>
      </c>
      <c r="G470" s="12" t="s">
        <v>25</v>
      </c>
      <c r="H470" s="17">
        <v>0</v>
      </c>
      <c r="I470" s="22"/>
      <c r="J470" s="28"/>
      <c r="K470" s="22"/>
    </row>
    <row r="471" spans="1:11" s="4" customFormat="1" x14ac:dyDescent="0.25">
      <c r="A471" s="32" t="s">
        <v>171</v>
      </c>
      <c r="B471" s="21" t="s">
        <v>172</v>
      </c>
      <c r="C471" s="9" t="s">
        <v>28</v>
      </c>
      <c r="D471" s="17">
        <f>D473+D474+D475+D476</f>
        <v>70</v>
      </c>
      <c r="E471" s="9" t="s">
        <v>28</v>
      </c>
      <c r="F471" s="17">
        <f>F473+F474+F475+F476</f>
        <v>0</v>
      </c>
      <c r="G471" s="9" t="s">
        <v>28</v>
      </c>
      <c r="H471" s="17">
        <f>H473+H474+H475+H476</f>
        <v>0</v>
      </c>
      <c r="I471" s="22" t="s">
        <v>104</v>
      </c>
      <c r="J471" s="28"/>
      <c r="K471" s="22" t="s">
        <v>30</v>
      </c>
    </row>
    <row r="472" spans="1:11" s="4" customFormat="1" x14ac:dyDescent="0.25">
      <c r="A472" s="32"/>
      <c r="B472" s="21"/>
      <c r="C472" s="9" t="s">
        <v>21</v>
      </c>
      <c r="D472" s="17"/>
      <c r="E472" s="9" t="s">
        <v>21</v>
      </c>
      <c r="F472" s="17"/>
      <c r="G472" s="9" t="s">
        <v>21</v>
      </c>
      <c r="H472" s="17"/>
      <c r="I472" s="22"/>
      <c r="J472" s="28"/>
      <c r="K472" s="22"/>
    </row>
    <row r="473" spans="1:11" s="4" customFormat="1" x14ac:dyDescent="0.25">
      <c r="A473" s="32"/>
      <c r="B473" s="21"/>
      <c r="C473" s="12" t="s">
        <v>22</v>
      </c>
      <c r="D473" s="17">
        <v>0</v>
      </c>
      <c r="E473" s="12" t="s">
        <v>22</v>
      </c>
      <c r="F473" s="17">
        <v>0</v>
      </c>
      <c r="G473" s="12" t="s">
        <v>22</v>
      </c>
      <c r="H473" s="17">
        <v>0</v>
      </c>
      <c r="I473" s="22"/>
      <c r="J473" s="28"/>
      <c r="K473" s="22"/>
    </row>
    <row r="474" spans="1:11" s="4" customFormat="1" x14ac:dyDescent="0.25">
      <c r="A474" s="32"/>
      <c r="B474" s="21"/>
      <c r="C474" s="12" t="s">
        <v>23</v>
      </c>
      <c r="D474" s="17">
        <v>0</v>
      </c>
      <c r="E474" s="12" t="s">
        <v>23</v>
      </c>
      <c r="F474" s="17">
        <v>0</v>
      </c>
      <c r="G474" s="12" t="s">
        <v>23</v>
      </c>
      <c r="H474" s="17">
        <v>0</v>
      </c>
      <c r="I474" s="22"/>
      <c r="J474" s="28"/>
      <c r="K474" s="22"/>
    </row>
    <row r="475" spans="1:11" s="4" customFormat="1" x14ac:dyDescent="0.25">
      <c r="A475" s="32"/>
      <c r="B475" s="21"/>
      <c r="C475" s="12" t="s">
        <v>24</v>
      </c>
      <c r="D475" s="17">
        <f>70000/1000</f>
        <v>70</v>
      </c>
      <c r="E475" s="12" t="s">
        <v>24</v>
      </c>
      <c r="F475" s="17">
        <v>0</v>
      </c>
      <c r="G475" s="12" t="s">
        <v>24</v>
      </c>
      <c r="H475" s="17">
        <v>0</v>
      </c>
      <c r="I475" s="22"/>
      <c r="J475" s="28"/>
      <c r="K475" s="22"/>
    </row>
    <row r="476" spans="1:11" s="4" customFormat="1" x14ac:dyDescent="0.25">
      <c r="A476" s="32"/>
      <c r="B476" s="21"/>
      <c r="C476" s="12" t="s">
        <v>25</v>
      </c>
      <c r="D476" s="17">
        <v>0</v>
      </c>
      <c r="E476" s="12" t="s">
        <v>25</v>
      </c>
      <c r="F476" s="17">
        <v>0</v>
      </c>
      <c r="G476" s="12" t="s">
        <v>25</v>
      </c>
      <c r="H476" s="17">
        <v>0</v>
      </c>
      <c r="I476" s="22"/>
      <c r="J476" s="28"/>
      <c r="K476" s="22"/>
    </row>
    <row r="477" spans="1:11" s="4" customFormat="1" x14ac:dyDescent="0.25">
      <c r="A477" s="32" t="s">
        <v>173</v>
      </c>
      <c r="B477" s="21" t="s">
        <v>174</v>
      </c>
      <c r="C477" s="9" t="s">
        <v>28</v>
      </c>
      <c r="D477" s="17">
        <f>D479+D480+D481+D482</f>
        <v>300.30068</v>
      </c>
      <c r="E477" s="9" t="s">
        <v>28</v>
      </c>
      <c r="F477" s="17">
        <f>F479+F480+F481+F482</f>
        <v>0</v>
      </c>
      <c r="G477" s="9" t="s">
        <v>28</v>
      </c>
      <c r="H477" s="17">
        <f>H479+H480+H481+H482</f>
        <v>0</v>
      </c>
      <c r="I477" s="22" t="s">
        <v>104</v>
      </c>
      <c r="J477" s="28"/>
      <c r="K477" s="22" t="s">
        <v>30</v>
      </c>
    </row>
    <row r="478" spans="1:11" s="4" customFormat="1" x14ac:dyDescent="0.25">
      <c r="A478" s="32"/>
      <c r="B478" s="21"/>
      <c r="C478" s="9" t="s">
        <v>21</v>
      </c>
      <c r="D478" s="17"/>
      <c r="E478" s="9" t="s">
        <v>21</v>
      </c>
      <c r="F478" s="17"/>
      <c r="G478" s="9" t="s">
        <v>21</v>
      </c>
      <c r="H478" s="17"/>
      <c r="I478" s="22"/>
      <c r="J478" s="28"/>
      <c r="K478" s="22"/>
    </row>
    <row r="479" spans="1:11" s="4" customFormat="1" x14ac:dyDescent="0.25">
      <c r="A479" s="32"/>
      <c r="B479" s="21"/>
      <c r="C479" s="12" t="s">
        <v>22</v>
      </c>
      <c r="D479" s="17">
        <v>0</v>
      </c>
      <c r="E479" s="12" t="s">
        <v>22</v>
      </c>
      <c r="F479" s="17">
        <v>0</v>
      </c>
      <c r="G479" s="12" t="s">
        <v>22</v>
      </c>
      <c r="H479" s="17">
        <v>0</v>
      </c>
      <c r="I479" s="22"/>
      <c r="J479" s="28"/>
      <c r="K479" s="22"/>
    </row>
    <row r="480" spans="1:11" s="4" customFormat="1" x14ac:dyDescent="0.25">
      <c r="A480" s="32"/>
      <c r="B480" s="21"/>
      <c r="C480" s="12" t="s">
        <v>23</v>
      </c>
      <c r="D480" s="17">
        <v>0</v>
      </c>
      <c r="E480" s="12" t="s">
        <v>23</v>
      </c>
      <c r="F480" s="17">
        <v>0</v>
      </c>
      <c r="G480" s="12" t="s">
        <v>23</v>
      </c>
      <c r="H480" s="17">
        <v>0</v>
      </c>
      <c r="I480" s="22"/>
      <c r="J480" s="28"/>
      <c r="K480" s="22"/>
    </row>
    <row r="481" spans="1:11" s="4" customFormat="1" x14ac:dyDescent="0.25">
      <c r="A481" s="32"/>
      <c r="B481" s="21"/>
      <c r="C481" s="12" t="s">
        <v>24</v>
      </c>
      <c r="D481" s="17">
        <f>300300.68/1000</f>
        <v>300.30068</v>
      </c>
      <c r="E481" s="12" t="s">
        <v>24</v>
      </c>
      <c r="F481" s="17">
        <v>0</v>
      </c>
      <c r="G481" s="12" t="s">
        <v>24</v>
      </c>
      <c r="H481" s="17">
        <v>0</v>
      </c>
      <c r="I481" s="22"/>
      <c r="J481" s="28"/>
      <c r="K481" s="22"/>
    </row>
    <row r="482" spans="1:11" s="4" customFormat="1" x14ac:dyDescent="0.25">
      <c r="A482" s="32"/>
      <c r="B482" s="21"/>
      <c r="C482" s="12" t="s">
        <v>25</v>
      </c>
      <c r="D482" s="17">
        <v>0</v>
      </c>
      <c r="E482" s="12" t="s">
        <v>25</v>
      </c>
      <c r="F482" s="17">
        <v>0</v>
      </c>
      <c r="G482" s="12" t="s">
        <v>25</v>
      </c>
      <c r="H482" s="17">
        <v>0</v>
      </c>
      <c r="I482" s="22"/>
      <c r="J482" s="28"/>
      <c r="K482" s="22"/>
    </row>
    <row r="483" spans="1:11" s="4" customFormat="1" x14ac:dyDescent="0.25">
      <c r="A483" s="32" t="s">
        <v>175</v>
      </c>
      <c r="B483" s="21" t="s">
        <v>176</v>
      </c>
      <c r="C483" s="9" t="s">
        <v>28</v>
      </c>
      <c r="D483" s="17">
        <f>D485+D486+D487+D488</f>
        <v>490.14299999999997</v>
      </c>
      <c r="E483" s="9" t="s">
        <v>28</v>
      </c>
      <c r="F483" s="17">
        <f>F485+F486+F487+F488</f>
        <v>0</v>
      </c>
      <c r="G483" s="9" t="s">
        <v>28</v>
      </c>
      <c r="H483" s="17">
        <f>H485+H486+H487+H488</f>
        <v>0</v>
      </c>
      <c r="I483" s="22" t="s">
        <v>104</v>
      </c>
      <c r="J483" s="28"/>
      <c r="K483" s="22" t="s">
        <v>30</v>
      </c>
    </row>
    <row r="484" spans="1:11" s="4" customFormat="1" x14ac:dyDescent="0.25">
      <c r="A484" s="32"/>
      <c r="B484" s="21"/>
      <c r="C484" s="9" t="s">
        <v>21</v>
      </c>
      <c r="D484" s="17"/>
      <c r="E484" s="9" t="s">
        <v>21</v>
      </c>
      <c r="F484" s="17"/>
      <c r="G484" s="9" t="s">
        <v>21</v>
      </c>
      <c r="H484" s="17"/>
      <c r="I484" s="22"/>
      <c r="J484" s="28"/>
      <c r="K484" s="22"/>
    </row>
    <row r="485" spans="1:11" s="4" customFormat="1" x14ac:dyDescent="0.25">
      <c r="A485" s="32"/>
      <c r="B485" s="21"/>
      <c r="C485" s="12" t="s">
        <v>22</v>
      </c>
      <c r="D485" s="17">
        <v>0</v>
      </c>
      <c r="E485" s="12" t="s">
        <v>22</v>
      </c>
      <c r="F485" s="17">
        <v>0</v>
      </c>
      <c r="G485" s="12" t="s">
        <v>22</v>
      </c>
      <c r="H485" s="17">
        <v>0</v>
      </c>
      <c r="I485" s="22"/>
      <c r="J485" s="28"/>
      <c r="K485" s="22"/>
    </row>
    <row r="486" spans="1:11" s="4" customFormat="1" x14ac:dyDescent="0.25">
      <c r="A486" s="32"/>
      <c r="B486" s="21"/>
      <c r="C486" s="12" t="s">
        <v>23</v>
      </c>
      <c r="D486" s="17">
        <v>0</v>
      </c>
      <c r="E486" s="12" t="s">
        <v>23</v>
      </c>
      <c r="F486" s="17">
        <v>0</v>
      </c>
      <c r="G486" s="12" t="s">
        <v>23</v>
      </c>
      <c r="H486" s="17">
        <v>0</v>
      </c>
      <c r="I486" s="22"/>
      <c r="J486" s="28"/>
      <c r="K486" s="22"/>
    </row>
    <row r="487" spans="1:11" s="4" customFormat="1" x14ac:dyDescent="0.25">
      <c r="A487" s="32"/>
      <c r="B487" s="21"/>
      <c r="C487" s="12" t="s">
        <v>24</v>
      </c>
      <c r="D487" s="17">
        <f>490143/1000</f>
        <v>490.14299999999997</v>
      </c>
      <c r="E487" s="12" t="s">
        <v>24</v>
      </c>
      <c r="F487" s="17">
        <v>0</v>
      </c>
      <c r="G487" s="12" t="s">
        <v>24</v>
      </c>
      <c r="H487" s="17">
        <v>0</v>
      </c>
      <c r="I487" s="22"/>
      <c r="J487" s="28"/>
      <c r="K487" s="22"/>
    </row>
    <row r="488" spans="1:11" s="4" customFormat="1" x14ac:dyDescent="0.25">
      <c r="A488" s="32"/>
      <c r="B488" s="21"/>
      <c r="C488" s="12" t="s">
        <v>25</v>
      </c>
      <c r="D488" s="17">
        <v>0</v>
      </c>
      <c r="E488" s="12" t="s">
        <v>25</v>
      </c>
      <c r="F488" s="17">
        <v>0</v>
      </c>
      <c r="G488" s="12" t="s">
        <v>25</v>
      </c>
      <c r="H488" s="17">
        <v>0</v>
      </c>
      <c r="I488" s="22"/>
      <c r="J488" s="28"/>
      <c r="K488" s="22"/>
    </row>
    <row r="489" spans="1:11" s="4" customFormat="1" x14ac:dyDescent="0.25">
      <c r="A489" s="32" t="s">
        <v>177</v>
      </c>
      <c r="B489" s="21" t="s">
        <v>178</v>
      </c>
      <c r="C489" s="9" t="s">
        <v>28</v>
      </c>
      <c r="D489" s="17">
        <f>D491+D492+D493+D494</f>
        <v>116.313</v>
      </c>
      <c r="E489" s="9" t="s">
        <v>28</v>
      </c>
      <c r="F489" s="17">
        <f>F491+F492+F493+F494</f>
        <v>0</v>
      </c>
      <c r="G489" s="9" t="s">
        <v>28</v>
      </c>
      <c r="H489" s="17">
        <f>H491+H492+H493+H494</f>
        <v>0</v>
      </c>
      <c r="I489" s="22" t="s">
        <v>104</v>
      </c>
      <c r="J489" s="28"/>
      <c r="K489" s="22" t="s">
        <v>30</v>
      </c>
    </row>
    <row r="490" spans="1:11" s="4" customFormat="1" x14ac:dyDescent="0.25">
      <c r="A490" s="32"/>
      <c r="B490" s="21"/>
      <c r="C490" s="9" t="s">
        <v>21</v>
      </c>
      <c r="D490" s="17"/>
      <c r="E490" s="9" t="s">
        <v>21</v>
      </c>
      <c r="F490" s="17"/>
      <c r="G490" s="9" t="s">
        <v>21</v>
      </c>
      <c r="H490" s="17"/>
      <c r="I490" s="22"/>
      <c r="J490" s="28"/>
      <c r="K490" s="22"/>
    </row>
    <row r="491" spans="1:11" s="4" customFormat="1" x14ac:dyDescent="0.25">
      <c r="A491" s="32"/>
      <c r="B491" s="21"/>
      <c r="C491" s="12" t="s">
        <v>22</v>
      </c>
      <c r="D491" s="17">
        <v>0</v>
      </c>
      <c r="E491" s="12" t="s">
        <v>22</v>
      </c>
      <c r="F491" s="17">
        <v>0</v>
      </c>
      <c r="G491" s="12" t="s">
        <v>22</v>
      </c>
      <c r="H491" s="17">
        <v>0</v>
      </c>
      <c r="I491" s="22"/>
      <c r="J491" s="28"/>
      <c r="K491" s="22"/>
    </row>
    <row r="492" spans="1:11" s="4" customFormat="1" x14ac:dyDescent="0.25">
      <c r="A492" s="32"/>
      <c r="B492" s="21"/>
      <c r="C492" s="12" t="s">
        <v>23</v>
      </c>
      <c r="D492" s="17">
        <v>0</v>
      </c>
      <c r="E492" s="12" t="s">
        <v>23</v>
      </c>
      <c r="F492" s="17">
        <v>0</v>
      </c>
      <c r="G492" s="12" t="s">
        <v>23</v>
      </c>
      <c r="H492" s="17">
        <v>0</v>
      </c>
      <c r="I492" s="22"/>
      <c r="J492" s="28"/>
      <c r="K492" s="22"/>
    </row>
    <row r="493" spans="1:11" s="4" customFormat="1" x14ac:dyDescent="0.25">
      <c r="A493" s="32"/>
      <c r="B493" s="21"/>
      <c r="C493" s="12" t="s">
        <v>24</v>
      </c>
      <c r="D493" s="17">
        <f>116313/1000</f>
        <v>116.313</v>
      </c>
      <c r="E493" s="12" t="s">
        <v>24</v>
      </c>
      <c r="F493" s="17">
        <v>0</v>
      </c>
      <c r="G493" s="12" t="s">
        <v>24</v>
      </c>
      <c r="H493" s="17">
        <v>0</v>
      </c>
      <c r="I493" s="22"/>
      <c r="J493" s="28"/>
      <c r="K493" s="22"/>
    </row>
    <row r="494" spans="1:11" s="4" customFormat="1" x14ac:dyDescent="0.25">
      <c r="A494" s="32"/>
      <c r="B494" s="21"/>
      <c r="C494" s="12" t="s">
        <v>25</v>
      </c>
      <c r="D494" s="17">
        <v>0</v>
      </c>
      <c r="E494" s="12" t="s">
        <v>25</v>
      </c>
      <c r="F494" s="17">
        <v>0</v>
      </c>
      <c r="G494" s="12" t="s">
        <v>25</v>
      </c>
      <c r="H494" s="17">
        <v>0</v>
      </c>
      <c r="I494" s="22"/>
      <c r="J494" s="28"/>
      <c r="K494" s="22"/>
    </row>
    <row r="495" spans="1:11" s="4" customFormat="1" x14ac:dyDescent="0.25">
      <c r="A495" s="32" t="s">
        <v>179</v>
      </c>
      <c r="B495" s="21" t="s">
        <v>180</v>
      </c>
      <c r="C495" s="9" t="s">
        <v>28</v>
      </c>
      <c r="D495" s="17">
        <f>D497+D498+D499+D500</f>
        <v>363.75776999999999</v>
      </c>
      <c r="E495" s="9" t="s">
        <v>28</v>
      </c>
      <c r="F495" s="17">
        <f>F497+F498+F499+F500</f>
        <v>0</v>
      </c>
      <c r="G495" s="9" t="s">
        <v>28</v>
      </c>
      <c r="H495" s="17">
        <f>H497+H498+H499+H500</f>
        <v>0</v>
      </c>
      <c r="I495" s="22" t="s">
        <v>104</v>
      </c>
      <c r="J495" s="28"/>
      <c r="K495" s="22" t="s">
        <v>30</v>
      </c>
    </row>
    <row r="496" spans="1:11" s="4" customFormat="1" x14ac:dyDescent="0.25">
      <c r="A496" s="32"/>
      <c r="B496" s="21"/>
      <c r="C496" s="9" t="s">
        <v>21</v>
      </c>
      <c r="D496" s="17"/>
      <c r="E496" s="9" t="s">
        <v>21</v>
      </c>
      <c r="F496" s="17"/>
      <c r="G496" s="9" t="s">
        <v>21</v>
      </c>
      <c r="H496" s="17"/>
      <c r="I496" s="22"/>
      <c r="J496" s="28"/>
      <c r="K496" s="22"/>
    </row>
    <row r="497" spans="1:11" s="4" customFormat="1" x14ac:dyDescent="0.25">
      <c r="A497" s="32"/>
      <c r="B497" s="21"/>
      <c r="C497" s="12" t="s">
        <v>22</v>
      </c>
      <c r="D497" s="17">
        <v>0</v>
      </c>
      <c r="E497" s="12" t="s">
        <v>22</v>
      </c>
      <c r="F497" s="17">
        <v>0</v>
      </c>
      <c r="G497" s="12" t="s">
        <v>22</v>
      </c>
      <c r="H497" s="17">
        <v>0</v>
      </c>
      <c r="I497" s="22"/>
      <c r="J497" s="28"/>
      <c r="K497" s="22"/>
    </row>
    <row r="498" spans="1:11" s="4" customFormat="1" x14ac:dyDescent="0.25">
      <c r="A498" s="32"/>
      <c r="B498" s="21"/>
      <c r="C498" s="12" t="s">
        <v>23</v>
      </c>
      <c r="D498" s="17">
        <v>0</v>
      </c>
      <c r="E498" s="12" t="s">
        <v>23</v>
      </c>
      <c r="F498" s="17">
        <v>0</v>
      </c>
      <c r="G498" s="12" t="s">
        <v>23</v>
      </c>
      <c r="H498" s="17">
        <v>0</v>
      </c>
      <c r="I498" s="22"/>
      <c r="J498" s="28"/>
      <c r="K498" s="22"/>
    </row>
    <row r="499" spans="1:11" s="4" customFormat="1" x14ac:dyDescent="0.25">
      <c r="A499" s="32"/>
      <c r="B499" s="21"/>
      <c r="C499" s="12" t="s">
        <v>24</v>
      </c>
      <c r="D499" s="17">
        <f>363757.77/1000</f>
        <v>363.75776999999999</v>
      </c>
      <c r="E499" s="12" t="s">
        <v>24</v>
      </c>
      <c r="F499" s="17">
        <v>0</v>
      </c>
      <c r="G499" s="12" t="s">
        <v>24</v>
      </c>
      <c r="H499" s="17">
        <v>0</v>
      </c>
      <c r="I499" s="22"/>
      <c r="J499" s="28"/>
      <c r="K499" s="22"/>
    </row>
    <row r="500" spans="1:11" s="4" customFormat="1" x14ac:dyDescent="0.25">
      <c r="A500" s="32"/>
      <c r="B500" s="21"/>
      <c r="C500" s="12" t="s">
        <v>25</v>
      </c>
      <c r="D500" s="17">
        <v>0</v>
      </c>
      <c r="E500" s="12" t="s">
        <v>25</v>
      </c>
      <c r="F500" s="17">
        <v>0</v>
      </c>
      <c r="G500" s="12" t="s">
        <v>25</v>
      </c>
      <c r="H500" s="17">
        <v>0</v>
      </c>
      <c r="I500" s="22"/>
      <c r="J500" s="28"/>
      <c r="K500" s="22"/>
    </row>
    <row r="501" spans="1:11" s="4" customFormat="1" x14ac:dyDescent="0.25">
      <c r="A501" s="32" t="s">
        <v>181</v>
      </c>
      <c r="B501" s="21" t="s">
        <v>182</v>
      </c>
      <c r="C501" s="9" t="s">
        <v>28</v>
      </c>
      <c r="D501" s="17">
        <f>D503+D504+D505+D506</f>
        <v>78.36</v>
      </c>
      <c r="E501" s="9" t="s">
        <v>28</v>
      </c>
      <c r="F501" s="17">
        <f>F503+F504+F505+F506</f>
        <v>0</v>
      </c>
      <c r="G501" s="9" t="s">
        <v>28</v>
      </c>
      <c r="H501" s="17">
        <f>H503+H504+H505+H506</f>
        <v>0</v>
      </c>
      <c r="I501" s="22" t="s">
        <v>104</v>
      </c>
      <c r="J501" s="28"/>
      <c r="K501" s="22" t="s">
        <v>30</v>
      </c>
    </row>
    <row r="502" spans="1:11" s="4" customFormat="1" x14ac:dyDescent="0.25">
      <c r="A502" s="32"/>
      <c r="B502" s="21"/>
      <c r="C502" s="9" t="s">
        <v>21</v>
      </c>
      <c r="D502" s="17"/>
      <c r="E502" s="9" t="s">
        <v>21</v>
      </c>
      <c r="F502" s="17"/>
      <c r="G502" s="9" t="s">
        <v>21</v>
      </c>
      <c r="H502" s="17"/>
      <c r="I502" s="22"/>
      <c r="J502" s="28"/>
      <c r="K502" s="22"/>
    </row>
    <row r="503" spans="1:11" s="4" customFormat="1" x14ac:dyDescent="0.25">
      <c r="A503" s="32"/>
      <c r="B503" s="21"/>
      <c r="C503" s="12" t="s">
        <v>22</v>
      </c>
      <c r="D503" s="17">
        <v>0</v>
      </c>
      <c r="E503" s="12" t="s">
        <v>22</v>
      </c>
      <c r="F503" s="17">
        <v>0</v>
      </c>
      <c r="G503" s="12" t="s">
        <v>22</v>
      </c>
      <c r="H503" s="17">
        <v>0</v>
      </c>
      <c r="I503" s="22"/>
      <c r="J503" s="28"/>
      <c r="K503" s="22"/>
    </row>
    <row r="504" spans="1:11" s="4" customFormat="1" x14ac:dyDescent="0.25">
      <c r="A504" s="32"/>
      <c r="B504" s="21"/>
      <c r="C504" s="12" t="s">
        <v>23</v>
      </c>
      <c r="D504" s="17">
        <v>0</v>
      </c>
      <c r="E504" s="12" t="s">
        <v>23</v>
      </c>
      <c r="F504" s="17">
        <v>0</v>
      </c>
      <c r="G504" s="12" t="s">
        <v>23</v>
      </c>
      <c r="H504" s="17">
        <v>0</v>
      </c>
      <c r="I504" s="22"/>
      <c r="J504" s="28"/>
      <c r="K504" s="22"/>
    </row>
    <row r="505" spans="1:11" s="4" customFormat="1" x14ac:dyDescent="0.25">
      <c r="A505" s="32"/>
      <c r="B505" s="21"/>
      <c r="C505" s="12" t="s">
        <v>24</v>
      </c>
      <c r="D505" s="17">
        <f>78360/1000</f>
        <v>78.36</v>
      </c>
      <c r="E505" s="12" t="s">
        <v>24</v>
      </c>
      <c r="F505" s="17">
        <v>0</v>
      </c>
      <c r="G505" s="12" t="s">
        <v>24</v>
      </c>
      <c r="H505" s="17">
        <v>0</v>
      </c>
      <c r="I505" s="22"/>
      <c r="J505" s="28"/>
      <c r="K505" s="22"/>
    </row>
    <row r="506" spans="1:11" s="4" customFormat="1" x14ac:dyDescent="0.25">
      <c r="A506" s="32"/>
      <c r="B506" s="21"/>
      <c r="C506" s="12" t="s">
        <v>25</v>
      </c>
      <c r="D506" s="17">
        <v>0</v>
      </c>
      <c r="E506" s="12" t="s">
        <v>25</v>
      </c>
      <c r="F506" s="17">
        <v>0</v>
      </c>
      <c r="G506" s="12" t="s">
        <v>25</v>
      </c>
      <c r="H506" s="17">
        <v>0</v>
      </c>
      <c r="I506" s="22"/>
      <c r="J506" s="28"/>
      <c r="K506" s="22"/>
    </row>
    <row r="507" spans="1:11" s="4" customFormat="1" x14ac:dyDescent="0.25">
      <c r="A507" s="32" t="s">
        <v>183</v>
      </c>
      <c r="B507" s="21" t="s">
        <v>184</v>
      </c>
      <c r="C507" s="9" t="s">
        <v>28</v>
      </c>
      <c r="D507" s="17">
        <f>D509+D510+D511+D512</f>
        <v>120.125</v>
      </c>
      <c r="E507" s="9" t="s">
        <v>28</v>
      </c>
      <c r="F507" s="17">
        <f>F509+F510+F511+F512</f>
        <v>0</v>
      </c>
      <c r="G507" s="9" t="s">
        <v>28</v>
      </c>
      <c r="H507" s="17">
        <f>H509+H510+H511+H512</f>
        <v>0</v>
      </c>
      <c r="I507" s="22" t="s">
        <v>104</v>
      </c>
      <c r="J507" s="28"/>
      <c r="K507" s="22" t="s">
        <v>30</v>
      </c>
    </row>
    <row r="508" spans="1:11" s="4" customFormat="1" x14ac:dyDescent="0.25">
      <c r="A508" s="32"/>
      <c r="B508" s="21"/>
      <c r="C508" s="9" t="s">
        <v>21</v>
      </c>
      <c r="D508" s="17"/>
      <c r="E508" s="9" t="s">
        <v>21</v>
      </c>
      <c r="F508" s="17"/>
      <c r="G508" s="9" t="s">
        <v>21</v>
      </c>
      <c r="H508" s="17"/>
      <c r="I508" s="22"/>
      <c r="J508" s="28"/>
      <c r="K508" s="22"/>
    </row>
    <row r="509" spans="1:11" s="4" customFormat="1" x14ac:dyDescent="0.25">
      <c r="A509" s="32"/>
      <c r="B509" s="21"/>
      <c r="C509" s="12" t="s">
        <v>22</v>
      </c>
      <c r="D509" s="17">
        <v>0</v>
      </c>
      <c r="E509" s="12" t="s">
        <v>22</v>
      </c>
      <c r="F509" s="17">
        <v>0</v>
      </c>
      <c r="G509" s="12" t="s">
        <v>22</v>
      </c>
      <c r="H509" s="17">
        <v>0</v>
      </c>
      <c r="I509" s="22"/>
      <c r="J509" s="28"/>
      <c r="K509" s="22"/>
    </row>
    <row r="510" spans="1:11" s="4" customFormat="1" x14ac:dyDescent="0.25">
      <c r="A510" s="32"/>
      <c r="B510" s="21"/>
      <c r="C510" s="12" t="s">
        <v>23</v>
      </c>
      <c r="D510" s="17">
        <v>0</v>
      </c>
      <c r="E510" s="12" t="s">
        <v>23</v>
      </c>
      <c r="F510" s="17">
        <v>0</v>
      </c>
      <c r="G510" s="12" t="s">
        <v>23</v>
      </c>
      <c r="H510" s="17">
        <v>0</v>
      </c>
      <c r="I510" s="22"/>
      <c r="J510" s="28"/>
      <c r="K510" s="22"/>
    </row>
    <row r="511" spans="1:11" s="4" customFormat="1" x14ac:dyDescent="0.25">
      <c r="A511" s="32"/>
      <c r="B511" s="21"/>
      <c r="C511" s="12" t="s">
        <v>24</v>
      </c>
      <c r="D511" s="17">
        <f>120125/1000</f>
        <v>120.125</v>
      </c>
      <c r="E511" s="12" t="s">
        <v>24</v>
      </c>
      <c r="F511" s="17">
        <v>0</v>
      </c>
      <c r="G511" s="12" t="s">
        <v>24</v>
      </c>
      <c r="H511" s="17">
        <v>0</v>
      </c>
      <c r="I511" s="22"/>
      <c r="J511" s="28"/>
      <c r="K511" s="22"/>
    </row>
    <row r="512" spans="1:11" s="4" customFormat="1" x14ac:dyDescent="0.25">
      <c r="A512" s="32"/>
      <c r="B512" s="21"/>
      <c r="C512" s="12" t="s">
        <v>25</v>
      </c>
      <c r="D512" s="17">
        <v>0</v>
      </c>
      <c r="E512" s="12" t="s">
        <v>25</v>
      </c>
      <c r="F512" s="17">
        <v>0</v>
      </c>
      <c r="G512" s="12" t="s">
        <v>25</v>
      </c>
      <c r="H512" s="17">
        <v>0</v>
      </c>
      <c r="I512" s="22"/>
      <c r="J512" s="28"/>
      <c r="K512" s="22"/>
    </row>
    <row r="513" spans="1:11" s="4" customFormat="1" x14ac:dyDescent="0.25">
      <c r="A513" s="32" t="s">
        <v>185</v>
      </c>
      <c r="B513" s="21" t="s">
        <v>186</v>
      </c>
      <c r="C513" s="9" t="s">
        <v>28</v>
      </c>
      <c r="D513" s="17">
        <f>D515+D516+D517+D518</f>
        <v>20</v>
      </c>
      <c r="E513" s="9" t="s">
        <v>28</v>
      </c>
      <c r="F513" s="17">
        <f>F515+F516+F517+F518</f>
        <v>0</v>
      </c>
      <c r="G513" s="9" t="s">
        <v>28</v>
      </c>
      <c r="H513" s="17">
        <f>H515+H516+H517+H518</f>
        <v>0</v>
      </c>
      <c r="I513" s="22" t="s">
        <v>104</v>
      </c>
      <c r="J513" s="28"/>
      <c r="K513" s="22" t="s">
        <v>30</v>
      </c>
    </row>
    <row r="514" spans="1:11" s="4" customFormat="1" x14ac:dyDescent="0.25">
      <c r="A514" s="32"/>
      <c r="B514" s="21"/>
      <c r="C514" s="9" t="s">
        <v>21</v>
      </c>
      <c r="D514" s="17"/>
      <c r="E514" s="9" t="s">
        <v>21</v>
      </c>
      <c r="F514" s="17"/>
      <c r="G514" s="9" t="s">
        <v>21</v>
      </c>
      <c r="H514" s="17"/>
      <c r="I514" s="22"/>
      <c r="J514" s="28"/>
      <c r="K514" s="22"/>
    </row>
    <row r="515" spans="1:11" s="4" customFormat="1" x14ac:dyDescent="0.25">
      <c r="A515" s="32"/>
      <c r="B515" s="21"/>
      <c r="C515" s="12" t="s">
        <v>22</v>
      </c>
      <c r="D515" s="17">
        <v>0</v>
      </c>
      <c r="E515" s="12" t="s">
        <v>22</v>
      </c>
      <c r="F515" s="17">
        <v>0</v>
      </c>
      <c r="G515" s="12" t="s">
        <v>22</v>
      </c>
      <c r="H515" s="17">
        <v>0</v>
      </c>
      <c r="I515" s="22"/>
      <c r="J515" s="28"/>
      <c r="K515" s="22"/>
    </row>
    <row r="516" spans="1:11" s="4" customFormat="1" x14ac:dyDescent="0.25">
      <c r="A516" s="32"/>
      <c r="B516" s="21"/>
      <c r="C516" s="12" t="s">
        <v>23</v>
      </c>
      <c r="D516" s="17">
        <v>0</v>
      </c>
      <c r="E516" s="12" t="s">
        <v>23</v>
      </c>
      <c r="F516" s="17">
        <v>0</v>
      </c>
      <c r="G516" s="12" t="s">
        <v>23</v>
      </c>
      <c r="H516" s="17">
        <v>0</v>
      </c>
      <c r="I516" s="22"/>
      <c r="J516" s="28"/>
      <c r="K516" s="22"/>
    </row>
    <row r="517" spans="1:11" s="4" customFormat="1" x14ac:dyDescent="0.25">
      <c r="A517" s="32"/>
      <c r="B517" s="21"/>
      <c r="C517" s="12" t="s">
        <v>24</v>
      </c>
      <c r="D517" s="17">
        <f>20000/1000</f>
        <v>20</v>
      </c>
      <c r="E517" s="12" t="s">
        <v>24</v>
      </c>
      <c r="F517" s="17">
        <v>0</v>
      </c>
      <c r="G517" s="12" t="s">
        <v>24</v>
      </c>
      <c r="H517" s="17">
        <v>0</v>
      </c>
      <c r="I517" s="22"/>
      <c r="J517" s="28"/>
      <c r="K517" s="22"/>
    </row>
    <row r="518" spans="1:11" s="4" customFormat="1" x14ac:dyDescent="0.25">
      <c r="A518" s="32"/>
      <c r="B518" s="21"/>
      <c r="C518" s="12" t="s">
        <v>25</v>
      </c>
      <c r="D518" s="17">
        <v>0</v>
      </c>
      <c r="E518" s="12" t="s">
        <v>25</v>
      </c>
      <c r="F518" s="17">
        <v>0</v>
      </c>
      <c r="G518" s="12" t="s">
        <v>25</v>
      </c>
      <c r="H518" s="17">
        <v>0</v>
      </c>
      <c r="I518" s="22"/>
      <c r="J518" s="28"/>
      <c r="K518" s="22"/>
    </row>
    <row r="519" spans="1:11" s="4" customFormat="1" x14ac:dyDescent="0.25">
      <c r="A519" s="32" t="s">
        <v>187</v>
      </c>
      <c r="B519" s="21" t="s">
        <v>188</v>
      </c>
      <c r="C519" s="9" t="s">
        <v>28</v>
      </c>
      <c r="D519" s="17">
        <f>D521+D522+D523+D524</f>
        <v>168.28894</v>
      </c>
      <c r="E519" s="9" t="s">
        <v>28</v>
      </c>
      <c r="F519" s="17">
        <f>F521+F522+F523+F524</f>
        <v>0</v>
      </c>
      <c r="G519" s="9" t="s">
        <v>28</v>
      </c>
      <c r="H519" s="17">
        <f>H521+H522+H523+H524</f>
        <v>0</v>
      </c>
      <c r="I519" s="22" t="s">
        <v>104</v>
      </c>
      <c r="J519" s="28"/>
      <c r="K519" s="22" t="s">
        <v>30</v>
      </c>
    </row>
    <row r="520" spans="1:11" s="4" customFormat="1" x14ac:dyDescent="0.25">
      <c r="A520" s="32"/>
      <c r="B520" s="21"/>
      <c r="C520" s="9" t="s">
        <v>21</v>
      </c>
      <c r="D520" s="17"/>
      <c r="E520" s="9" t="s">
        <v>21</v>
      </c>
      <c r="F520" s="17"/>
      <c r="G520" s="9" t="s">
        <v>21</v>
      </c>
      <c r="H520" s="17"/>
      <c r="I520" s="22"/>
      <c r="J520" s="28"/>
      <c r="K520" s="22"/>
    </row>
    <row r="521" spans="1:11" s="4" customFormat="1" x14ac:dyDescent="0.25">
      <c r="A521" s="32"/>
      <c r="B521" s="21"/>
      <c r="C521" s="12" t="s">
        <v>22</v>
      </c>
      <c r="D521" s="17">
        <v>0</v>
      </c>
      <c r="E521" s="12" t="s">
        <v>22</v>
      </c>
      <c r="F521" s="17">
        <v>0</v>
      </c>
      <c r="G521" s="12" t="s">
        <v>22</v>
      </c>
      <c r="H521" s="17">
        <v>0</v>
      </c>
      <c r="I521" s="22"/>
      <c r="J521" s="28"/>
      <c r="K521" s="22"/>
    </row>
    <row r="522" spans="1:11" s="4" customFormat="1" x14ac:dyDescent="0.25">
      <c r="A522" s="32"/>
      <c r="B522" s="21"/>
      <c r="C522" s="12" t="s">
        <v>23</v>
      </c>
      <c r="D522" s="17">
        <v>0</v>
      </c>
      <c r="E522" s="12" t="s">
        <v>23</v>
      </c>
      <c r="F522" s="17">
        <v>0</v>
      </c>
      <c r="G522" s="12" t="s">
        <v>23</v>
      </c>
      <c r="H522" s="17">
        <v>0</v>
      </c>
      <c r="I522" s="22"/>
      <c r="J522" s="28"/>
      <c r="K522" s="22"/>
    </row>
    <row r="523" spans="1:11" s="4" customFormat="1" x14ac:dyDescent="0.25">
      <c r="A523" s="32"/>
      <c r="B523" s="21"/>
      <c r="C523" s="12" t="s">
        <v>24</v>
      </c>
      <c r="D523" s="17">
        <f>168288.94/1000</f>
        <v>168.28894</v>
      </c>
      <c r="E523" s="12" t="s">
        <v>24</v>
      </c>
      <c r="F523" s="17">
        <v>0</v>
      </c>
      <c r="G523" s="12" t="s">
        <v>24</v>
      </c>
      <c r="H523" s="17">
        <v>0</v>
      </c>
      <c r="I523" s="22"/>
      <c r="J523" s="28"/>
      <c r="K523" s="22"/>
    </row>
    <row r="524" spans="1:11" s="4" customFormat="1" x14ac:dyDescent="0.25">
      <c r="A524" s="32"/>
      <c r="B524" s="21"/>
      <c r="C524" s="12" t="s">
        <v>25</v>
      </c>
      <c r="D524" s="17">
        <v>0</v>
      </c>
      <c r="E524" s="12" t="s">
        <v>25</v>
      </c>
      <c r="F524" s="17">
        <v>0</v>
      </c>
      <c r="G524" s="12" t="s">
        <v>25</v>
      </c>
      <c r="H524" s="17">
        <v>0</v>
      </c>
      <c r="I524" s="22"/>
      <c r="J524" s="28"/>
      <c r="K524" s="22"/>
    </row>
    <row r="525" spans="1:11" s="4" customFormat="1" x14ac:dyDescent="0.25">
      <c r="A525" s="32" t="s">
        <v>189</v>
      </c>
      <c r="B525" s="21" t="s">
        <v>190</v>
      </c>
      <c r="C525" s="9" t="s">
        <v>28</v>
      </c>
      <c r="D525" s="17">
        <f>D527+D528+D529+D530</f>
        <v>1044</v>
      </c>
      <c r="E525" s="9" t="s">
        <v>28</v>
      </c>
      <c r="F525" s="17">
        <f>F527+F528+F529+F530</f>
        <v>0</v>
      </c>
      <c r="G525" s="9" t="s">
        <v>28</v>
      </c>
      <c r="H525" s="17">
        <f>H527+H528+H529+H530</f>
        <v>0</v>
      </c>
      <c r="I525" s="22" t="s">
        <v>104</v>
      </c>
      <c r="J525" s="28"/>
      <c r="K525" s="22" t="s">
        <v>30</v>
      </c>
    </row>
    <row r="526" spans="1:11" s="4" customFormat="1" x14ac:dyDescent="0.25">
      <c r="A526" s="32"/>
      <c r="B526" s="21"/>
      <c r="C526" s="9" t="s">
        <v>21</v>
      </c>
      <c r="D526" s="17"/>
      <c r="E526" s="9" t="s">
        <v>21</v>
      </c>
      <c r="F526" s="17"/>
      <c r="G526" s="9" t="s">
        <v>21</v>
      </c>
      <c r="H526" s="17"/>
      <c r="I526" s="22"/>
      <c r="J526" s="28"/>
      <c r="K526" s="22"/>
    </row>
    <row r="527" spans="1:11" s="4" customFormat="1" x14ac:dyDescent="0.25">
      <c r="A527" s="32"/>
      <c r="B527" s="21"/>
      <c r="C527" s="12" t="s">
        <v>22</v>
      </c>
      <c r="D527" s="17">
        <v>0</v>
      </c>
      <c r="E527" s="12" t="s">
        <v>22</v>
      </c>
      <c r="F527" s="17">
        <v>0</v>
      </c>
      <c r="G527" s="12" t="s">
        <v>22</v>
      </c>
      <c r="H527" s="17">
        <v>0</v>
      </c>
      <c r="I527" s="22"/>
      <c r="J527" s="28"/>
      <c r="K527" s="22"/>
    </row>
    <row r="528" spans="1:11" s="4" customFormat="1" x14ac:dyDescent="0.25">
      <c r="A528" s="32"/>
      <c r="B528" s="21"/>
      <c r="C528" s="12" t="s">
        <v>23</v>
      </c>
      <c r="D528" s="17">
        <v>0</v>
      </c>
      <c r="E528" s="12" t="s">
        <v>23</v>
      </c>
      <c r="F528" s="17">
        <v>0</v>
      </c>
      <c r="G528" s="12" t="s">
        <v>23</v>
      </c>
      <c r="H528" s="17">
        <v>0</v>
      </c>
      <c r="I528" s="22"/>
      <c r="J528" s="28"/>
      <c r="K528" s="22"/>
    </row>
    <row r="529" spans="1:11" s="4" customFormat="1" x14ac:dyDescent="0.25">
      <c r="A529" s="32"/>
      <c r="B529" s="21"/>
      <c r="C529" s="12" t="s">
        <v>24</v>
      </c>
      <c r="D529" s="17">
        <f>1044000/1000</f>
        <v>1044</v>
      </c>
      <c r="E529" s="12" t="s">
        <v>24</v>
      </c>
      <c r="F529" s="17">
        <v>0</v>
      </c>
      <c r="G529" s="12" t="s">
        <v>24</v>
      </c>
      <c r="H529" s="17">
        <v>0</v>
      </c>
      <c r="I529" s="22"/>
      <c r="J529" s="28"/>
      <c r="K529" s="22"/>
    </row>
    <row r="530" spans="1:11" s="4" customFormat="1" x14ac:dyDescent="0.25">
      <c r="A530" s="32"/>
      <c r="B530" s="21"/>
      <c r="C530" s="12" t="s">
        <v>25</v>
      </c>
      <c r="D530" s="17">
        <v>0</v>
      </c>
      <c r="E530" s="12" t="s">
        <v>25</v>
      </c>
      <c r="F530" s="17">
        <v>0</v>
      </c>
      <c r="G530" s="12" t="s">
        <v>25</v>
      </c>
      <c r="H530" s="17">
        <v>0</v>
      </c>
      <c r="I530" s="22"/>
      <c r="J530" s="28"/>
      <c r="K530" s="22"/>
    </row>
    <row r="531" spans="1:11" s="4" customFormat="1" x14ac:dyDescent="0.25">
      <c r="A531" s="32" t="s">
        <v>191</v>
      </c>
      <c r="B531" s="21" t="s">
        <v>192</v>
      </c>
      <c r="C531" s="9" t="s">
        <v>28</v>
      </c>
      <c r="D531" s="17">
        <f>D533+D534+D535+D536</f>
        <v>984.14512999999999</v>
      </c>
      <c r="E531" s="9" t="s">
        <v>28</v>
      </c>
      <c r="F531" s="17">
        <f>F533+F534+F535+F536</f>
        <v>0</v>
      </c>
      <c r="G531" s="9" t="s">
        <v>28</v>
      </c>
      <c r="H531" s="17">
        <f>H533+H534+H535+H536</f>
        <v>0</v>
      </c>
      <c r="I531" s="22" t="s">
        <v>104</v>
      </c>
      <c r="J531" s="28"/>
      <c r="K531" s="22" t="s">
        <v>30</v>
      </c>
    </row>
    <row r="532" spans="1:11" s="4" customFormat="1" x14ac:dyDescent="0.25">
      <c r="A532" s="32"/>
      <c r="B532" s="21"/>
      <c r="C532" s="9" t="s">
        <v>21</v>
      </c>
      <c r="D532" s="17"/>
      <c r="E532" s="9" t="s">
        <v>21</v>
      </c>
      <c r="F532" s="17"/>
      <c r="G532" s="9" t="s">
        <v>21</v>
      </c>
      <c r="H532" s="17"/>
      <c r="I532" s="22"/>
      <c r="J532" s="28"/>
      <c r="K532" s="22"/>
    </row>
    <row r="533" spans="1:11" s="4" customFormat="1" x14ac:dyDescent="0.25">
      <c r="A533" s="32"/>
      <c r="B533" s="21"/>
      <c r="C533" s="12" t="s">
        <v>22</v>
      </c>
      <c r="D533" s="17">
        <v>0</v>
      </c>
      <c r="E533" s="12" t="s">
        <v>22</v>
      </c>
      <c r="F533" s="17">
        <v>0</v>
      </c>
      <c r="G533" s="12" t="s">
        <v>22</v>
      </c>
      <c r="H533" s="17">
        <v>0</v>
      </c>
      <c r="I533" s="22"/>
      <c r="J533" s="28"/>
      <c r="K533" s="22"/>
    </row>
    <row r="534" spans="1:11" s="4" customFormat="1" x14ac:dyDescent="0.25">
      <c r="A534" s="32"/>
      <c r="B534" s="21"/>
      <c r="C534" s="12" t="s">
        <v>23</v>
      </c>
      <c r="D534" s="17">
        <v>0</v>
      </c>
      <c r="E534" s="12" t="s">
        <v>23</v>
      </c>
      <c r="F534" s="17">
        <v>0</v>
      </c>
      <c r="G534" s="12" t="s">
        <v>23</v>
      </c>
      <c r="H534" s="17">
        <v>0</v>
      </c>
      <c r="I534" s="22"/>
      <c r="J534" s="28"/>
      <c r="K534" s="22"/>
    </row>
    <row r="535" spans="1:11" s="4" customFormat="1" x14ac:dyDescent="0.25">
      <c r="A535" s="32"/>
      <c r="B535" s="21"/>
      <c r="C535" s="12" t="s">
        <v>24</v>
      </c>
      <c r="D535" s="17">
        <f>984145.13/1000</f>
        <v>984.14512999999999</v>
      </c>
      <c r="E535" s="12" t="s">
        <v>24</v>
      </c>
      <c r="F535" s="17">
        <v>0</v>
      </c>
      <c r="G535" s="12" t="s">
        <v>24</v>
      </c>
      <c r="H535" s="17">
        <v>0</v>
      </c>
      <c r="I535" s="22"/>
      <c r="J535" s="28"/>
      <c r="K535" s="22"/>
    </row>
    <row r="536" spans="1:11" s="4" customFormat="1" x14ac:dyDescent="0.25">
      <c r="A536" s="32"/>
      <c r="B536" s="21"/>
      <c r="C536" s="12" t="s">
        <v>25</v>
      </c>
      <c r="D536" s="17">
        <v>0</v>
      </c>
      <c r="E536" s="12" t="s">
        <v>25</v>
      </c>
      <c r="F536" s="17">
        <v>0</v>
      </c>
      <c r="G536" s="12" t="s">
        <v>25</v>
      </c>
      <c r="H536" s="17">
        <v>0</v>
      </c>
      <c r="I536" s="22"/>
      <c r="J536" s="28"/>
      <c r="K536" s="22"/>
    </row>
    <row r="537" spans="1:11" s="4" customFormat="1" x14ac:dyDescent="0.25">
      <c r="A537" s="32" t="s">
        <v>193</v>
      </c>
      <c r="B537" s="21" t="s">
        <v>194</v>
      </c>
      <c r="C537" s="9" t="s">
        <v>28</v>
      </c>
      <c r="D537" s="17">
        <f>D539+D540+D541+D542</f>
        <v>40</v>
      </c>
      <c r="E537" s="9" t="s">
        <v>28</v>
      </c>
      <c r="F537" s="17">
        <f>F539+F540+F541+F542</f>
        <v>0</v>
      </c>
      <c r="G537" s="9" t="s">
        <v>28</v>
      </c>
      <c r="H537" s="17">
        <f>H539+H540+H541+H542</f>
        <v>0</v>
      </c>
      <c r="I537" s="22" t="s">
        <v>104</v>
      </c>
      <c r="J537" s="28"/>
      <c r="K537" s="22" t="s">
        <v>30</v>
      </c>
    </row>
    <row r="538" spans="1:11" s="4" customFormat="1" x14ac:dyDescent="0.25">
      <c r="A538" s="32"/>
      <c r="B538" s="21"/>
      <c r="C538" s="9" t="s">
        <v>21</v>
      </c>
      <c r="D538" s="17"/>
      <c r="E538" s="9" t="s">
        <v>21</v>
      </c>
      <c r="F538" s="17"/>
      <c r="G538" s="9" t="s">
        <v>21</v>
      </c>
      <c r="H538" s="17"/>
      <c r="I538" s="22"/>
      <c r="J538" s="28"/>
      <c r="K538" s="22"/>
    </row>
    <row r="539" spans="1:11" s="4" customFormat="1" x14ac:dyDescent="0.25">
      <c r="A539" s="32"/>
      <c r="B539" s="21"/>
      <c r="C539" s="12" t="s">
        <v>22</v>
      </c>
      <c r="D539" s="17">
        <v>0</v>
      </c>
      <c r="E539" s="12" t="s">
        <v>22</v>
      </c>
      <c r="F539" s="17">
        <v>0</v>
      </c>
      <c r="G539" s="12" t="s">
        <v>22</v>
      </c>
      <c r="H539" s="17">
        <v>0</v>
      </c>
      <c r="I539" s="22"/>
      <c r="J539" s="28"/>
      <c r="K539" s="22"/>
    </row>
    <row r="540" spans="1:11" s="4" customFormat="1" x14ac:dyDescent="0.25">
      <c r="A540" s="32"/>
      <c r="B540" s="21"/>
      <c r="C540" s="12" t="s">
        <v>23</v>
      </c>
      <c r="D540" s="17">
        <v>0</v>
      </c>
      <c r="E540" s="12" t="s">
        <v>23</v>
      </c>
      <c r="F540" s="17">
        <v>0</v>
      </c>
      <c r="G540" s="12" t="s">
        <v>23</v>
      </c>
      <c r="H540" s="17">
        <v>0</v>
      </c>
      <c r="I540" s="22"/>
      <c r="J540" s="28"/>
      <c r="K540" s="22"/>
    </row>
    <row r="541" spans="1:11" s="4" customFormat="1" x14ac:dyDescent="0.25">
      <c r="A541" s="32"/>
      <c r="B541" s="21"/>
      <c r="C541" s="12" t="s">
        <v>24</v>
      </c>
      <c r="D541" s="17">
        <f>40000/1000</f>
        <v>40</v>
      </c>
      <c r="E541" s="12" t="s">
        <v>24</v>
      </c>
      <c r="F541" s="17">
        <v>0</v>
      </c>
      <c r="G541" s="12" t="s">
        <v>24</v>
      </c>
      <c r="H541" s="17">
        <v>0</v>
      </c>
      <c r="I541" s="22"/>
      <c r="J541" s="28"/>
      <c r="K541" s="22"/>
    </row>
    <row r="542" spans="1:11" s="4" customFormat="1" x14ac:dyDescent="0.25">
      <c r="A542" s="32"/>
      <c r="B542" s="21"/>
      <c r="C542" s="12" t="s">
        <v>25</v>
      </c>
      <c r="D542" s="17">
        <v>0</v>
      </c>
      <c r="E542" s="12" t="s">
        <v>25</v>
      </c>
      <c r="F542" s="17">
        <v>0</v>
      </c>
      <c r="G542" s="12" t="s">
        <v>25</v>
      </c>
      <c r="H542" s="17">
        <v>0</v>
      </c>
      <c r="I542" s="22"/>
      <c r="J542" s="28"/>
      <c r="K542" s="22"/>
    </row>
    <row r="543" spans="1:11" s="4" customFormat="1" x14ac:dyDescent="0.25">
      <c r="A543" s="32" t="s">
        <v>195</v>
      </c>
      <c r="B543" s="21" t="s">
        <v>196</v>
      </c>
      <c r="C543" s="9" t="s">
        <v>28</v>
      </c>
      <c r="D543" s="17">
        <f>D545+D546+D547+D548</f>
        <v>35</v>
      </c>
      <c r="E543" s="9" t="s">
        <v>28</v>
      </c>
      <c r="F543" s="17">
        <f>F545+F546+F547+F548</f>
        <v>0</v>
      </c>
      <c r="G543" s="9" t="s">
        <v>28</v>
      </c>
      <c r="H543" s="17">
        <f>H545+H546+H547+H548</f>
        <v>0</v>
      </c>
      <c r="I543" s="22" t="s">
        <v>104</v>
      </c>
      <c r="J543" s="28"/>
      <c r="K543" s="22" t="s">
        <v>30</v>
      </c>
    </row>
    <row r="544" spans="1:11" s="4" customFormat="1" x14ac:dyDescent="0.25">
      <c r="A544" s="32"/>
      <c r="B544" s="21"/>
      <c r="C544" s="9" t="s">
        <v>21</v>
      </c>
      <c r="D544" s="17"/>
      <c r="E544" s="9" t="s">
        <v>21</v>
      </c>
      <c r="F544" s="17"/>
      <c r="G544" s="9" t="s">
        <v>21</v>
      </c>
      <c r="H544" s="17"/>
      <c r="I544" s="22"/>
      <c r="J544" s="28"/>
      <c r="K544" s="22"/>
    </row>
    <row r="545" spans="1:11" s="4" customFormat="1" x14ac:dyDescent="0.25">
      <c r="A545" s="32"/>
      <c r="B545" s="21"/>
      <c r="C545" s="12" t="s">
        <v>22</v>
      </c>
      <c r="D545" s="17">
        <v>0</v>
      </c>
      <c r="E545" s="12" t="s">
        <v>22</v>
      </c>
      <c r="F545" s="17">
        <v>0</v>
      </c>
      <c r="G545" s="12" t="s">
        <v>22</v>
      </c>
      <c r="H545" s="17">
        <v>0</v>
      </c>
      <c r="I545" s="22"/>
      <c r="J545" s="28"/>
      <c r="K545" s="22"/>
    </row>
    <row r="546" spans="1:11" s="4" customFormat="1" x14ac:dyDescent="0.25">
      <c r="A546" s="32"/>
      <c r="B546" s="21"/>
      <c r="C546" s="12" t="s">
        <v>23</v>
      </c>
      <c r="D546" s="17">
        <v>0</v>
      </c>
      <c r="E546" s="12" t="s">
        <v>23</v>
      </c>
      <c r="F546" s="17">
        <v>0</v>
      </c>
      <c r="G546" s="12" t="s">
        <v>23</v>
      </c>
      <c r="H546" s="17">
        <v>0</v>
      </c>
      <c r="I546" s="22"/>
      <c r="J546" s="28"/>
      <c r="K546" s="22"/>
    </row>
    <row r="547" spans="1:11" s="4" customFormat="1" x14ac:dyDescent="0.25">
      <c r="A547" s="32"/>
      <c r="B547" s="21"/>
      <c r="C547" s="12" t="s">
        <v>24</v>
      </c>
      <c r="D547" s="17">
        <f>35000/1000</f>
        <v>35</v>
      </c>
      <c r="E547" s="12" t="s">
        <v>24</v>
      </c>
      <c r="F547" s="17">
        <v>0</v>
      </c>
      <c r="G547" s="12" t="s">
        <v>24</v>
      </c>
      <c r="H547" s="17">
        <v>0</v>
      </c>
      <c r="I547" s="22"/>
      <c r="J547" s="28"/>
      <c r="K547" s="22"/>
    </row>
    <row r="548" spans="1:11" s="4" customFormat="1" x14ac:dyDescent="0.25">
      <c r="A548" s="32"/>
      <c r="B548" s="21"/>
      <c r="C548" s="12" t="s">
        <v>25</v>
      </c>
      <c r="D548" s="17">
        <v>0</v>
      </c>
      <c r="E548" s="12" t="s">
        <v>25</v>
      </c>
      <c r="F548" s="17">
        <v>0</v>
      </c>
      <c r="G548" s="12" t="s">
        <v>25</v>
      </c>
      <c r="H548" s="17">
        <v>0</v>
      </c>
      <c r="I548" s="22"/>
      <c r="J548" s="28"/>
      <c r="K548" s="22"/>
    </row>
    <row r="549" spans="1:11" s="4" customFormat="1" x14ac:dyDescent="0.25">
      <c r="A549" s="32" t="s">
        <v>197</v>
      </c>
      <c r="B549" s="21" t="s">
        <v>198</v>
      </c>
      <c r="C549" s="9" t="s">
        <v>28</v>
      </c>
      <c r="D549" s="17">
        <f>D551+D552+D553+D554</f>
        <v>42</v>
      </c>
      <c r="E549" s="9" t="s">
        <v>28</v>
      </c>
      <c r="F549" s="17">
        <f>F551+F552+F553+F554</f>
        <v>0</v>
      </c>
      <c r="G549" s="9" t="s">
        <v>28</v>
      </c>
      <c r="H549" s="17">
        <f>H551+H552+H553+H554</f>
        <v>0</v>
      </c>
      <c r="I549" s="22" t="s">
        <v>104</v>
      </c>
      <c r="J549" s="28"/>
      <c r="K549" s="22" t="s">
        <v>30</v>
      </c>
    </row>
    <row r="550" spans="1:11" s="4" customFormat="1" x14ac:dyDescent="0.25">
      <c r="A550" s="32"/>
      <c r="B550" s="21"/>
      <c r="C550" s="9" t="s">
        <v>21</v>
      </c>
      <c r="D550" s="17"/>
      <c r="E550" s="9" t="s">
        <v>21</v>
      </c>
      <c r="F550" s="17"/>
      <c r="G550" s="9" t="s">
        <v>21</v>
      </c>
      <c r="H550" s="17"/>
      <c r="I550" s="22"/>
      <c r="J550" s="28"/>
      <c r="K550" s="22"/>
    </row>
    <row r="551" spans="1:11" s="4" customFormat="1" x14ac:dyDescent="0.25">
      <c r="A551" s="32"/>
      <c r="B551" s="21"/>
      <c r="C551" s="12" t="s">
        <v>22</v>
      </c>
      <c r="D551" s="17">
        <v>0</v>
      </c>
      <c r="E551" s="12" t="s">
        <v>22</v>
      </c>
      <c r="F551" s="17">
        <v>0</v>
      </c>
      <c r="G551" s="12" t="s">
        <v>22</v>
      </c>
      <c r="H551" s="17">
        <v>0</v>
      </c>
      <c r="I551" s="22"/>
      <c r="J551" s="28"/>
      <c r="K551" s="22"/>
    </row>
    <row r="552" spans="1:11" s="4" customFormat="1" x14ac:dyDescent="0.25">
      <c r="A552" s="32"/>
      <c r="B552" s="21"/>
      <c r="C552" s="12" t="s">
        <v>23</v>
      </c>
      <c r="D552" s="17">
        <v>0</v>
      </c>
      <c r="E552" s="12" t="s">
        <v>23</v>
      </c>
      <c r="F552" s="17">
        <v>0</v>
      </c>
      <c r="G552" s="12" t="s">
        <v>23</v>
      </c>
      <c r="H552" s="17">
        <v>0</v>
      </c>
      <c r="I552" s="22"/>
      <c r="J552" s="28"/>
      <c r="K552" s="22"/>
    </row>
    <row r="553" spans="1:11" s="4" customFormat="1" x14ac:dyDescent="0.25">
      <c r="A553" s="32"/>
      <c r="B553" s="21"/>
      <c r="C553" s="12" t="s">
        <v>24</v>
      </c>
      <c r="D553" s="17">
        <f>42000/1000</f>
        <v>42</v>
      </c>
      <c r="E553" s="12" t="s">
        <v>24</v>
      </c>
      <c r="F553" s="17">
        <v>0</v>
      </c>
      <c r="G553" s="12" t="s">
        <v>24</v>
      </c>
      <c r="H553" s="17">
        <v>0</v>
      </c>
      <c r="I553" s="22"/>
      <c r="J553" s="28"/>
      <c r="K553" s="22"/>
    </row>
    <row r="554" spans="1:11" s="4" customFormat="1" x14ac:dyDescent="0.25">
      <c r="A554" s="32"/>
      <c r="B554" s="21"/>
      <c r="C554" s="12" t="s">
        <v>25</v>
      </c>
      <c r="D554" s="17">
        <v>0</v>
      </c>
      <c r="E554" s="12" t="s">
        <v>25</v>
      </c>
      <c r="F554" s="17">
        <v>0</v>
      </c>
      <c r="G554" s="12" t="s">
        <v>25</v>
      </c>
      <c r="H554" s="17">
        <v>0</v>
      </c>
      <c r="I554" s="22"/>
      <c r="J554" s="28"/>
      <c r="K554" s="22"/>
    </row>
    <row r="555" spans="1:11" s="4" customFormat="1" x14ac:dyDescent="0.25">
      <c r="A555" s="32" t="s">
        <v>199</v>
      </c>
      <c r="B555" s="21" t="s">
        <v>200</v>
      </c>
      <c r="C555" s="9" t="s">
        <v>28</v>
      </c>
      <c r="D555" s="17">
        <f>D557+D558+D559+D560</f>
        <v>30</v>
      </c>
      <c r="E555" s="9" t="s">
        <v>28</v>
      </c>
      <c r="F555" s="17">
        <f>F557+F558+F559+F560</f>
        <v>0</v>
      </c>
      <c r="G555" s="9" t="s">
        <v>28</v>
      </c>
      <c r="H555" s="17">
        <f>H557+H558+H559+H560</f>
        <v>0</v>
      </c>
      <c r="I555" s="22" t="s">
        <v>104</v>
      </c>
      <c r="J555" s="28"/>
      <c r="K555" s="22" t="s">
        <v>30</v>
      </c>
    </row>
    <row r="556" spans="1:11" s="4" customFormat="1" x14ac:dyDescent="0.25">
      <c r="A556" s="32"/>
      <c r="B556" s="21"/>
      <c r="C556" s="9" t="s">
        <v>21</v>
      </c>
      <c r="D556" s="17"/>
      <c r="E556" s="9" t="s">
        <v>21</v>
      </c>
      <c r="F556" s="17"/>
      <c r="G556" s="9" t="s">
        <v>21</v>
      </c>
      <c r="H556" s="17"/>
      <c r="I556" s="22"/>
      <c r="J556" s="28"/>
      <c r="K556" s="22"/>
    </row>
    <row r="557" spans="1:11" s="4" customFormat="1" x14ac:dyDescent="0.25">
      <c r="A557" s="32"/>
      <c r="B557" s="21"/>
      <c r="C557" s="12" t="s">
        <v>22</v>
      </c>
      <c r="D557" s="17">
        <v>0</v>
      </c>
      <c r="E557" s="12" t="s">
        <v>22</v>
      </c>
      <c r="F557" s="17">
        <v>0</v>
      </c>
      <c r="G557" s="12" t="s">
        <v>22</v>
      </c>
      <c r="H557" s="17">
        <v>0</v>
      </c>
      <c r="I557" s="22"/>
      <c r="J557" s="28"/>
      <c r="K557" s="22"/>
    </row>
    <row r="558" spans="1:11" s="4" customFormat="1" x14ac:dyDescent="0.25">
      <c r="A558" s="32"/>
      <c r="B558" s="21"/>
      <c r="C558" s="12" t="s">
        <v>23</v>
      </c>
      <c r="D558" s="17">
        <v>0</v>
      </c>
      <c r="E558" s="12" t="s">
        <v>23</v>
      </c>
      <c r="F558" s="17">
        <v>0</v>
      </c>
      <c r="G558" s="12" t="s">
        <v>23</v>
      </c>
      <c r="H558" s="17">
        <v>0</v>
      </c>
      <c r="I558" s="22"/>
      <c r="J558" s="28"/>
      <c r="K558" s="22"/>
    </row>
    <row r="559" spans="1:11" s="4" customFormat="1" x14ac:dyDescent="0.25">
      <c r="A559" s="32"/>
      <c r="B559" s="21"/>
      <c r="C559" s="12" t="s">
        <v>24</v>
      </c>
      <c r="D559" s="17">
        <f>30000/1000</f>
        <v>30</v>
      </c>
      <c r="E559" s="12" t="s">
        <v>24</v>
      </c>
      <c r="F559" s="17">
        <v>0</v>
      </c>
      <c r="G559" s="12" t="s">
        <v>24</v>
      </c>
      <c r="H559" s="17">
        <v>0</v>
      </c>
      <c r="I559" s="22"/>
      <c r="J559" s="28"/>
      <c r="K559" s="22"/>
    </row>
    <row r="560" spans="1:11" s="4" customFormat="1" x14ac:dyDescent="0.25">
      <c r="A560" s="32"/>
      <c r="B560" s="21"/>
      <c r="C560" s="12" t="s">
        <v>25</v>
      </c>
      <c r="D560" s="17">
        <v>0</v>
      </c>
      <c r="E560" s="12" t="s">
        <v>25</v>
      </c>
      <c r="F560" s="17">
        <v>0</v>
      </c>
      <c r="G560" s="12" t="s">
        <v>25</v>
      </c>
      <c r="H560" s="17">
        <v>0</v>
      </c>
      <c r="I560" s="22"/>
      <c r="J560" s="28"/>
      <c r="K560" s="22"/>
    </row>
    <row r="561" spans="1:11" s="4" customFormat="1" x14ac:dyDescent="0.25">
      <c r="A561" s="32" t="s">
        <v>201</v>
      </c>
      <c r="B561" s="21" t="s">
        <v>202</v>
      </c>
      <c r="C561" s="9" t="s">
        <v>28</v>
      </c>
      <c r="D561" s="17">
        <f>D563+D564+D565+D566</f>
        <v>40</v>
      </c>
      <c r="E561" s="9" t="s">
        <v>28</v>
      </c>
      <c r="F561" s="17">
        <f>F563+F564+F565+F566</f>
        <v>0</v>
      </c>
      <c r="G561" s="9" t="s">
        <v>28</v>
      </c>
      <c r="H561" s="17">
        <f>H563+H564+H565+H566</f>
        <v>0</v>
      </c>
      <c r="I561" s="22" t="s">
        <v>104</v>
      </c>
      <c r="J561" s="28"/>
      <c r="K561" s="22" t="s">
        <v>30</v>
      </c>
    </row>
    <row r="562" spans="1:11" s="4" customFormat="1" x14ac:dyDescent="0.25">
      <c r="A562" s="32"/>
      <c r="B562" s="21"/>
      <c r="C562" s="9" t="s">
        <v>21</v>
      </c>
      <c r="D562" s="17"/>
      <c r="E562" s="9" t="s">
        <v>21</v>
      </c>
      <c r="F562" s="17"/>
      <c r="G562" s="9" t="s">
        <v>21</v>
      </c>
      <c r="H562" s="17"/>
      <c r="I562" s="22"/>
      <c r="J562" s="28"/>
      <c r="K562" s="22"/>
    </row>
    <row r="563" spans="1:11" s="4" customFormat="1" x14ac:dyDescent="0.25">
      <c r="A563" s="32"/>
      <c r="B563" s="21"/>
      <c r="C563" s="12" t="s">
        <v>22</v>
      </c>
      <c r="D563" s="17">
        <v>0</v>
      </c>
      <c r="E563" s="12" t="s">
        <v>22</v>
      </c>
      <c r="F563" s="17">
        <v>0</v>
      </c>
      <c r="G563" s="12" t="s">
        <v>22</v>
      </c>
      <c r="H563" s="17">
        <v>0</v>
      </c>
      <c r="I563" s="22"/>
      <c r="J563" s="28"/>
      <c r="K563" s="22"/>
    </row>
    <row r="564" spans="1:11" s="4" customFormat="1" x14ac:dyDescent="0.25">
      <c r="A564" s="32"/>
      <c r="B564" s="21"/>
      <c r="C564" s="12" t="s">
        <v>23</v>
      </c>
      <c r="D564" s="17">
        <v>0</v>
      </c>
      <c r="E564" s="12" t="s">
        <v>23</v>
      </c>
      <c r="F564" s="17">
        <v>0</v>
      </c>
      <c r="G564" s="12" t="s">
        <v>23</v>
      </c>
      <c r="H564" s="17">
        <v>0</v>
      </c>
      <c r="I564" s="22"/>
      <c r="J564" s="28"/>
      <c r="K564" s="22"/>
    </row>
    <row r="565" spans="1:11" s="4" customFormat="1" x14ac:dyDescent="0.25">
      <c r="A565" s="32"/>
      <c r="B565" s="21"/>
      <c r="C565" s="12" t="s">
        <v>24</v>
      </c>
      <c r="D565" s="17">
        <f>40000/1000</f>
        <v>40</v>
      </c>
      <c r="E565" s="12" t="s">
        <v>24</v>
      </c>
      <c r="F565" s="17">
        <v>0</v>
      </c>
      <c r="G565" s="12" t="s">
        <v>24</v>
      </c>
      <c r="H565" s="17">
        <v>0</v>
      </c>
      <c r="I565" s="22"/>
      <c r="J565" s="28"/>
      <c r="K565" s="22"/>
    </row>
    <row r="566" spans="1:11" s="4" customFormat="1" x14ac:dyDescent="0.25">
      <c r="A566" s="32"/>
      <c r="B566" s="21"/>
      <c r="C566" s="12" t="s">
        <v>25</v>
      </c>
      <c r="D566" s="17">
        <v>0</v>
      </c>
      <c r="E566" s="12" t="s">
        <v>25</v>
      </c>
      <c r="F566" s="17">
        <v>0</v>
      </c>
      <c r="G566" s="12" t="s">
        <v>25</v>
      </c>
      <c r="H566" s="17">
        <v>0</v>
      </c>
      <c r="I566" s="22"/>
      <c r="J566" s="28"/>
      <c r="K566" s="22"/>
    </row>
    <row r="567" spans="1:11" s="4" customFormat="1" x14ac:dyDescent="0.25">
      <c r="A567" s="32" t="s">
        <v>203</v>
      </c>
      <c r="B567" s="21" t="s">
        <v>204</v>
      </c>
      <c r="C567" s="9" t="s">
        <v>28</v>
      </c>
      <c r="D567" s="17">
        <f>D569+D570+D571+D572</f>
        <v>68</v>
      </c>
      <c r="E567" s="9" t="s">
        <v>28</v>
      </c>
      <c r="F567" s="17">
        <f>F569+F570+F571+F572</f>
        <v>0</v>
      </c>
      <c r="G567" s="9" t="s">
        <v>28</v>
      </c>
      <c r="H567" s="17">
        <f>H569+H570+H571+H572</f>
        <v>0</v>
      </c>
      <c r="I567" s="22" t="s">
        <v>104</v>
      </c>
      <c r="J567" s="28"/>
      <c r="K567" s="22" t="s">
        <v>30</v>
      </c>
    </row>
    <row r="568" spans="1:11" s="4" customFormat="1" x14ac:dyDescent="0.25">
      <c r="A568" s="32"/>
      <c r="B568" s="21"/>
      <c r="C568" s="9" t="s">
        <v>21</v>
      </c>
      <c r="D568" s="17"/>
      <c r="E568" s="9" t="s">
        <v>21</v>
      </c>
      <c r="F568" s="17"/>
      <c r="G568" s="9" t="s">
        <v>21</v>
      </c>
      <c r="H568" s="17"/>
      <c r="I568" s="22"/>
      <c r="J568" s="28"/>
      <c r="K568" s="22"/>
    </row>
    <row r="569" spans="1:11" s="4" customFormat="1" x14ac:dyDescent="0.25">
      <c r="A569" s="32"/>
      <c r="B569" s="21"/>
      <c r="C569" s="12" t="s">
        <v>22</v>
      </c>
      <c r="D569" s="17">
        <v>0</v>
      </c>
      <c r="E569" s="12" t="s">
        <v>22</v>
      </c>
      <c r="F569" s="17">
        <v>0</v>
      </c>
      <c r="G569" s="12" t="s">
        <v>22</v>
      </c>
      <c r="H569" s="17">
        <v>0</v>
      </c>
      <c r="I569" s="22"/>
      <c r="J569" s="28"/>
      <c r="K569" s="22"/>
    </row>
    <row r="570" spans="1:11" s="4" customFormat="1" x14ac:dyDescent="0.25">
      <c r="A570" s="32"/>
      <c r="B570" s="21"/>
      <c r="C570" s="12" t="s">
        <v>23</v>
      </c>
      <c r="D570" s="17">
        <v>0</v>
      </c>
      <c r="E570" s="12" t="s">
        <v>23</v>
      </c>
      <c r="F570" s="17">
        <v>0</v>
      </c>
      <c r="G570" s="12" t="s">
        <v>23</v>
      </c>
      <c r="H570" s="17">
        <v>0</v>
      </c>
      <c r="I570" s="22"/>
      <c r="J570" s="28"/>
      <c r="K570" s="22"/>
    </row>
    <row r="571" spans="1:11" s="4" customFormat="1" x14ac:dyDescent="0.25">
      <c r="A571" s="32"/>
      <c r="B571" s="21"/>
      <c r="C571" s="12" t="s">
        <v>24</v>
      </c>
      <c r="D571" s="17">
        <f>68000/1000</f>
        <v>68</v>
      </c>
      <c r="E571" s="12" t="s">
        <v>24</v>
      </c>
      <c r="F571" s="17">
        <v>0</v>
      </c>
      <c r="G571" s="12" t="s">
        <v>24</v>
      </c>
      <c r="H571" s="17">
        <v>0</v>
      </c>
      <c r="I571" s="22"/>
      <c r="J571" s="28"/>
      <c r="K571" s="22"/>
    </row>
    <row r="572" spans="1:11" s="4" customFormat="1" x14ac:dyDescent="0.25">
      <c r="A572" s="32"/>
      <c r="B572" s="21"/>
      <c r="C572" s="12" t="s">
        <v>25</v>
      </c>
      <c r="D572" s="17">
        <v>0</v>
      </c>
      <c r="E572" s="12" t="s">
        <v>25</v>
      </c>
      <c r="F572" s="17">
        <v>0</v>
      </c>
      <c r="G572" s="12" t="s">
        <v>25</v>
      </c>
      <c r="H572" s="17">
        <v>0</v>
      </c>
      <c r="I572" s="22"/>
      <c r="J572" s="28"/>
      <c r="K572" s="22"/>
    </row>
    <row r="573" spans="1:11" s="4" customFormat="1" x14ac:dyDescent="0.25">
      <c r="A573" s="32" t="s">
        <v>205</v>
      </c>
      <c r="B573" s="21" t="s">
        <v>206</v>
      </c>
      <c r="C573" s="9" t="s">
        <v>28</v>
      </c>
      <c r="D573" s="17">
        <f>D575+D576+D577+D578</f>
        <v>20</v>
      </c>
      <c r="E573" s="9" t="s">
        <v>28</v>
      </c>
      <c r="F573" s="17">
        <f>F575+F576+F577+F578</f>
        <v>0</v>
      </c>
      <c r="G573" s="9" t="s">
        <v>28</v>
      </c>
      <c r="H573" s="17">
        <f>H575+H576+H577+H578</f>
        <v>0</v>
      </c>
      <c r="I573" s="22" t="s">
        <v>104</v>
      </c>
      <c r="J573" s="28"/>
      <c r="K573" s="22" t="s">
        <v>30</v>
      </c>
    </row>
    <row r="574" spans="1:11" s="4" customFormat="1" x14ac:dyDescent="0.25">
      <c r="A574" s="32"/>
      <c r="B574" s="21"/>
      <c r="C574" s="9" t="s">
        <v>21</v>
      </c>
      <c r="D574" s="17"/>
      <c r="E574" s="9" t="s">
        <v>21</v>
      </c>
      <c r="F574" s="17"/>
      <c r="G574" s="9" t="s">
        <v>21</v>
      </c>
      <c r="H574" s="17"/>
      <c r="I574" s="22"/>
      <c r="J574" s="28"/>
      <c r="K574" s="22"/>
    </row>
    <row r="575" spans="1:11" s="4" customFormat="1" x14ac:dyDescent="0.25">
      <c r="A575" s="32"/>
      <c r="B575" s="21"/>
      <c r="C575" s="12" t="s">
        <v>22</v>
      </c>
      <c r="D575" s="17">
        <v>0</v>
      </c>
      <c r="E575" s="12" t="s">
        <v>22</v>
      </c>
      <c r="F575" s="17">
        <v>0</v>
      </c>
      <c r="G575" s="12" t="s">
        <v>22</v>
      </c>
      <c r="H575" s="17">
        <v>0</v>
      </c>
      <c r="I575" s="22"/>
      <c r="J575" s="28"/>
      <c r="K575" s="22"/>
    </row>
    <row r="576" spans="1:11" s="4" customFormat="1" x14ac:dyDescent="0.25">
      <c r="A576" s="32"/>
      <c r="B576" s="21"/>
      <c r="C576" s="12" t="s">
        <v>23</v>
      </c>
      <c r="D576" s="17">
        <v>0</v>
      </c>
      <c r="E576" s="12" t="s">
        <v>23</v>
      </c>
      <c r="F576" s="17">
        <v>0</v>
      </c>
      <c r="G576" s="12" t="s">
        <v>23</v>
      </c>
      <c r="H576" s="17">
        <v>0</v>
      </c>
      <c r="I576" s="22"/>
      <c r="J576" s="28"/>
      <c r="K576" s="22"/>
    </row>
    <row r="577" spans="1:11" s="4" customFormat="1" x14ac:dyDescent="0.25">
      <c r="A577" s="32"/>
      <c r="B577" s="21"/>
      <c r="C577" s="12" t="s">
        <v>24</v>
      </c>
      <c r="D577" s="17">
        <f>20000/1000</f>
        <v>20</v>
      </c>
      <c r="E577" s="12" t="s">
        <v>24</v>
      </c>
      <c r="F577" s="17">
        <v>0</v>
      </c>
      <c r="G577" s="12" t="s">
        <v>24</v>
      </c>
      <c r="H577" s="17">
        <v>0</v>
      </c>
      <c r="I577" s="22"/>
      <c r="J577" s="28"/>
      <c r="K577" s="22"/>
    </row>
    <row r="578" spans="1:11" s="4" customFormat="1" x14ac:dyDescent="0.25">
      <c r="A578" s="32"/>
      <c r="B578" s="21"/>
      <c r="C578" s="12" t="s">
        <v>25</v>
      </c>
      <c r="D578" s="17">
        <v>0</v>
      </c>
      <c r="E578" s="12" t="s">
        <v>25</v>
      </c>
      <c r="F578" s="17">
        <v>0</v>
      </c>
      <c r="G578" s="12" t="s">
        <v>25</v>
      </c>
      <c r="H578" s="17">
        <v>0</v>
      </c>
      <c r="I578" s="22"/>
      <c r="J578" s="28"/>
      <c r="K578" s="22"/>
    </row>
    <row r="579" spans="1:11" s="4" customFormat="1" x14ac:dyDescent="0.25">
      <c r="A579" s="32" t="s">
        <v>207</v>
      </c>
      <c r="B579" s="21" t="s">
        <v>208</v>
      </c>
      <c r="C579" s="9" t="s">
        <v>28</v>
      </c>
      <c r="D579" s="17">
        <f>D581+D582+D583+D584</f>
        <v>55</v>
      </c>
      <c r="E579" s="9" t="s">
        <v>28</v>
      </c>
      <c r="F579" s="17">
        <f>F581+F582+F583+F584</f>
        <v>0</v>
      </c>
      <c r="G579" s="9" t="s">
        <v>28</v>
      </c>
      <c r="H579" s="17">
        <f>H581+H582+H583+H584</f>
        <v>0</v>
      </c>
      <c r="I579" s="22" t="s">
        <v>104</v>
      </c>
      <c r="J579" s="28"/>
      <c r="K579" s="22" t="s">
        <v>30</v>
      </c>
    </row>
    <row r="580" spans="1:11" s="4" customFormat="1" x14ac:dyDescent="0.25">
      <c r="A580" s="32"/>
      <c r="B580" s="21"/>
      <c r="C580" s="9" t="s">
        <v>21</v>
      </c>
      <c r="D580" s="17"/>
      <c r="E580" s="9" t="s">
        <v>21</v>
      </c>
      <c r="F580" s="17"/>
      <c r="G580" s="9" t="s">
        <v>21</v>
      </c>
      <c r="H580" s="17"/>
      <c r="I580" s="22"/>
      <c r="J580" s="28"/>
      <c r="K580" s="22"/>
    </row>
    <row r="581" spans="1:11" s="4" customFormat="1" x14ac:dyDescent="0.25">
      <c r="A581" s="32"/>
      <c r="B581" s="21"/>
      <c r="C581" s="12" t="s">
        <v>22</v>
      </c>
      <c r="D581" s="17">
        <v>0</v>
      </c>
      <c r="E581" s="12" t="s">
        <v>22</v>
      </c>
      <c r="F581" s="17">
        <v>0</v>
      </c>
      <c r="G581" s="12" t="s">
        <v>22</v>
      </c>
      <c r="H581" s="17">
        <v>0</v>
      </c>
      <c r="I581" s="22"/>
      <c r="J581" s="28"/>
      <c r="K581" s="22"/>
    </row>
    <row r="582" spans="1:11" s="4" customFormat="1" x14ac:dyDescent="0.25">
      <c r="A582" s="32"/>
      <c r="B582" s="21"/>
      <c r="C582" s="12" t="s">
        <v>23</v>
      </c>
      <c r="D582" s="17">
        <v>0</v>
      </c>
      <c r="E582" s="12" t="s">
        <v>23</v>
      </c>
      <c r="F582" s="17">
        <v>0</v>
      </c>
      <c r="G582" s="12" t="s">
        <v>23</v>
      </c>
      <c r="H582" s="17">
        <v>0</v>
      </c>
      <c r="I582" s="22"/>
      <c r="J582" s="28"/>
      <c r="K582" s="22"/>
    </row>
    <row r="583" spans="1:11" s="4" customFormat="1" x14ac:dyDescent="0.25">
      <c r="A583" s="32"/>
      <c r="B583" s="21"/>
      <c r="C583" s="12" t="s">
        <v>24</v>
      </c>
      <c r="D583" s="17">
        <v>55</v>
      </c>
      <c r="E583" s="12" t="s">
        <v>24</v>
      </c>
      <c r="F583" s="17">
        <v>0</v>
      </c>
      <c r="G583" s="12" t="s">
        <v>24</v>
      </c>
      <c r="H583" s="17">
        <v>0</v>
      </c>
      <c r="I583" s="22"/>
      <c r="J583" s="28"/>
      <c r="K583" s="22"/>
    </row>
    <row r="584" spans="1:11" s="4" customFormat="1" x14ac:dyDescent="0.25">
      <c r="A584" s="32"/>
      <c r="B584" s="21"/>
      <c r="C584" s="12" t="s">
        <v>25</v>
      </c>
      <c r="D584" s="17">
        <v>0</v>
      </c>
      <c r="E584" s="12" t="s">
        <v>25</v>
      </c>
      <c r="F584" s="17">
        <v>0</v>
      </c>
      <c r="G584" s="12" t="s">
        <v>25</v>
      </c>
      <c r="H584" s="17">
        <v>0</v>
      </c>
      <c r="I584" s="22"/>
      <c r="J584" s="28"/>
      <c r="K584" s="22"/>
    </row>
    <row r="585" spans="1:11" s="4" customFormat="1" x14ac:dyDescent="0.25">
      <c r="A585" s="32" t="s">
        <v>207</v>
      </c>
      <c r="B585" s="21" t="s">
        <v>209</v>
      </c>
      <c r="C585" s="9" t="s">
        <v>28</v>
      </c>
      <c r="D585" s="17">
        <f>D587+D588+D589+D590</f>
        <v>40</v>
      </c>
      <c r="E585" s="9" t="s">
        <v>28</v>
      </c>
      <c r="F585" s="17">
        <f>F587+F588+F589+F590</f>
        <v>0</v>
      </c>
      <c r="G585" s="9" t="s">
        <v>28</v>
      </c>
      <c r="H585" s="17">
        <f>H587+H588+H589+H590</f>
        <v>0</v>
      </c>
      <c r="I585" s="22" t="s">
        <v>104</v>
      </c>
      <c r="J585" s="28"/>
      <c r="K585" s="22" t="s">
        <v>30</v>
      </c>
    </row>
    <row r="586" spans="1:11" s="4" customFormat="1" x14ac:dyDescent="0.25">
      <c r="A586" s="32"/>
      <c r="B586" s="21"/>
      <c r="C586" s="9" t="s">
        <v>21</v>
      </c>
      <c r="D586" s="17"/>
      <c r="E586" s="9" t="s">
        <v>21</v>
      </c>
      <c r="F586" s="17"/>
      <c r="G586" s="9" t="s">
        <v>21</v>
      </c>
      <c r="H586" s="17"/>
      <c r="I586" s="22"/>
      <c r="J586" s="28"/>
      <c r="K586" s="22"/>
    </row>
    <row r="587" spans="1:11" s="4" customFormat="1" x14ac:dyDescent="0.25">
      <c r="A587" s="32"/>
      <c r="B587" s="21"/>
      <c r="C587" s="12" t="s">
        <v>22</v>
      </c>
      <c r="D587" s="17">
        <v>0</v>
      </c>
      <c r="E587" s="12" t="s">
        <v>22</v>
      </c>
      <c r="F587" s="17">
        <v>0</v>
      </c>
      <c r="G587" s="12" t="s">
        <v>22</v>
      </c>
      <c r="H587" s="17">
        <v>0</v>
      </c>
      <c r="I587" s="22"/>
      <c r="J587" s="28"/>
      <c r="K587" s="22"/>
    </row>
    <row r="588" spans="1:11" s="4" customFormat="1" x14ac:dyDescent="0.25">
      <c r="A588" s="32"/>
      <c r="B588" s="21"/>
      <c r="C588" s="12" t="s">
        <v>23</v>
      </c>
      <c r="D588" s="17">
        <v>0</v>
      </c>
      <c r="E588" s="12" t="s">
        <v>23</v>
      </c>
      <c r="F588" s="17">
        <v>0</v>
      </c>
      <c r="G588" s="12" t="s">
        <v>23</v>
      </c>
      <c r="H588" s="17">
        <v>0</v>
      </c>
      <c r="I588" s="22"/>
      <c r="J588" s="28"/>
      <c r="K588" s="22"/>
    </row>
    <row r="589" spans="1:11" s="4" customFormat="1" x14ac:dyDescent="0.25">
      <c r="A589" s="32"/>
      <c r="B589" s="21"/>
      <c r="C589" s="12" t="s">
        <v>24</v>
      </c>
      <c r="D589" s="17">
        <v>40</v>
      </c>
      <c r="E589" s="12" t="s">
        <v>24</v>
      </c>
      <c r="F589" s="17">
        <v>0</v>
      </c>
      <c r="G589" s="12" t="s">
        <v>24</v>
      </c>
      <c r="H589" s="17">
        <v>0</v>
      </c>
      <c r="I589" s="22"/>
      <c r="J589" s="28"/>
      <c r="K589" s="22"/>
    </row>
    <row r="590" spans="1:11" s="4" customFormat="1" x14ac:dyDescent="0.25">
      <c r="A590" s="32"/>
      <c r="B590" s="21"/>
      <c r="C590" s="12" t="s">
        <v>25</v>
      </c>
      <c r="D590" s="17">
        <v>0</v>
      </c>
      <c r="E590" s="12" t="s">
        <v>25</v>
      </c>
      <c r="F590" s="17">
        <v>0</v>
      </c>
      <c r="G590" s="12" t="s">
        <v>25</v>
      </c>
      <c r="H590" s="17">
        <v>0</v>
      </c>
      <c r="I590" s="22"/>
      <c r="J590" s="28"/>
      <c r="K590" s="22"/>
    </row>
    <row r="591" spans="1:11" s="4" customFormat="1" x14ac:dyDescent="0.25">
      <c r="A591" s="32" t="s">
        <v>210</v>
      </c>
      <c r="B591" s="21" t="s">
        <v>95</v>
      </c>
      <c r="C591" s="9" t="s">
        <v>28</v>
      </c>
      <c r="D591" s="17">
        <f>D593+D594+D595+D596</f>
        <v>5.3299999999999997E-3</v>
      </c>
      <c r="E591" s="9" t="s">
        <v>28</v>
      </c>
      <c r="F591" s="17">
        <f>F593+F594+F595+F596</f>
        <v>8368.01</v>
      </c>
      <c r="G591" s="9" t="s">
        <v>28</v>
      </c>
      <c r="H591" s="17">
        <f>H593+H594+H595+H596</f>
        <v>0</v>
      </c>
      <c r="I591" s="22" t="s">
        <v>104</v>
      </c>
      <c r="J591" s="28"/>
      <c r="K591" s="22" t="s">
        <v>30</v>
      </c>
    </row>
    <row r="592" spans="1:11" s="4" customFormat="1" x14ac:dyDescent="0.25">
      <c r="A592" s="32"/>
      <c r="B592" s="21"/>
      <c r="C592" s="9" t="s">
        <v>21</v>
      </c>
      <c r="D592" s="17"/>
      <c r="E592" s="9" t="s">
        <v>21</v>
      </c>
      <c r="F592" s="17"/>
      <c r="G592" s="9" t="s">
        <v>21</v>
      </c>
      <c r="H592" s="17"/>
      <c r="I592" s="22"/>
      <c r="J592" s="28"/>
      <c r="K592" s="22"/>
    </row>
    <row r="593" spans="1:14" s="4" customFormat="1" x14ac:dyDescent="0.25">
      <c r="A593" s="32"/>
      <c r="B593" s="21"/>
      <c r="C593" s="12" t="s">
        <v>22</v>
      </c>
      <c r="D593" s="17">
        <v>0</v>
      </c>
      <c r="E593" s="12" t="s">
        <v>22</v>
      </c>
      <c r="F593" s="17">
        <v>0</v>
      </c>
      <c r="G593" s="12" t="s">
        <v>22</v>
      </c>
      <c r="H593" s="17">
        <v>0</v>
      </c>
      <c r="I593" s="22"/>
      <c r="J593" s="28"/>
      <c r="K593" s="22"/>
    </row>
    <row r="594" spans="1:14" s="4" customFormat="1" x14ac:dyDescent="0.25">
      <c r="A594" s="32"/>
      <c r="B594" s="21"/>
      <c r="C594" s="12" t="s">
        <v>23</v>
      </c>
      <c r="D594" s="17">
        <v>0</v>
      </c>
      <c r="E594" s="12" t="s">
        <v>23</v>
      </c>
      <c r="F594" s="17">
        <v>0</v>
      </c>
      <c r="G594" s="12" t="s">
        <v>23</v>
      </c>
      <c r="H594" s="17">
        <v>0</v>
      </c>
      <c r="I594" s="22"/>
      <c r="J594" s="28"/>
      <c r="K594" s="22"/>
    </row>
    <row r="595" spans="1:14" x14ac:dyDescent="0.25">
      <c r="A595" s="32"/>
      <c r="B595" s="21"/>
      <c r="C595" s="12" t="s">
        <v>24</v>
      </c>
      <c r="D595" s="17">
        <f>5.33/1000</f>
        <v>5.3299999999999997E-3</v>
      </c>
      <c r="E595" s="12" t="s">
        <v>24</v>
      </c>
      <c r="F595" s="17">
        <v>8368.01</v>
      </c>
      <c r="G595" s="12" t="s">
        <v>24</v>
      </c>
      <c r="H595" s="17">
        <v>0</v>
      </c>
      <c r="I595" s="22"/>
      <c r="J595" s="28"/>
      <c r="K595" s="22"/>
    </row>
    <row r="596" spans="1:14" x14ac:dyDescent="0.25">
      <c r="A596" s="32"/>
      <c r="B596" s="21"/>
      <c r="C596" s="12" t="s">
        <v>25</v>
      </c>
      <c r="D596" s="17">
        <v>0</v>
      </c>
      <c r="E596" s="12" t="s">
        <v>25</v>
      </c>
      <c r="F596" s="17">
        <v>0</v>
      </c>
      <c r="G596" s="12" t="s">
        <v>25</v>
      </c>
      <c r="H596" s="17">
        <v>0</v>
      </c>
      <c r="I596" s="22"/>
      <c r="J596" s="29"/>
      <c r="K596" s="22"/>
    </row>
    <row r="597" spans="1:14" x14ac:dyDescent="0.25">
      <c r="A597" s="24" t="s">
        <v>211</v>
      </c>
      <c r="B597" s="25" t="s">
        <v>212</v>
      </c>
      <c r="C597" s="13" t="s">
        <v>28</v>
      </c>
      <c r="D597" s="14">
        <f>D599+D600+D601+D602</f>
        <v>1234886.4220400001</v>
      </c>
      <c r="E597" s="13" t="s">
        <v>28</v>
      </c>
      <c r="F597" s="14">
        <f>F599+F600+F601+F602</f>
        <v>1259280.4100000001</v>
      </c>
      <c r="G597" s="13" t="s">
        <v>28</v>
      </c>
      <c r="H597" s="14">
        <f>H599+H600+H601+H602</f>
        <v>1348979.2000000002</v>
      </c>
      <c r="I597" s="26" t="s">
        <v>104</v>
      </c>
      <c r="J597" s="27" t="s">
        <v>213</v>
      </c>
      <c r="K597" s="22" t="s">
        <v>214</v>
      </c>
      <c r="L597" s="11">
        <v>1233116.95</v>
      </c>
      <c r="M597" s="11">
        <v>1259280.4099999999</v>
      </c>
      <c r="N597" s="11">
        <v>1348979.2</v>
      </c>
    </row>
    <row r="598" spans="1:14" x14ac:dyDescent="0.25">
      <c r="A598" s="24"/>
      <c r="B598" s="25"/>
      <c r="C598" s="13" t="s">
        <v>21</v>
      </c>
      <c r="D598" s="14"/>
      <c r="E598" s="13" t="s">
        <v>21</v>
      </c>
      <c r="F598" s="14"/>
      <c r="G598" s="13" t="s">
        <v>21</v>
      </c>
      <c r="H598" s="14"/>
      <c r="I598" s="26"/>
      <c r="J598" s="28"/>
      <c r="K598" s="22"/>
      <c r="L598" s="11" t="b">
        <f>L597=D597</f>
        <v>0</v>
      </c>
      <c r="M598" s="11" t="b">
        <f>M597=F597</f>
        <v>1</v>
      </c>
      <c r="N598" s="11" t="b">
        <f>N597=H597</f>
        <v>1</v>
      </c>
    </row>
    <row r="599" spans="1:14" x14ac:dyDescent="0.25">
      <c r="A599" s="24"/>
      <c r="B599" s="25"/>
      <c r="C599" s="16" t="s">
        <v>22</v>
      </c>
      <c r="D599" s="14">
        <f>D605+D683+D1541+D1649+D1973+D2009+D2057+D1523+D665</f>
        <v>76969.399999999994</v>
      </c>
      <c r="E599" s="16" t="s">
        <v>22</v>
      </c>
      <c r="F599" s="14">
        <f>F605+F683+F1541+F1649+F1973+F2009+F2057+F1523+F665</f>
        <v>56068.06</v>
      </c>
      <c r="G599" s="16" t="s">
        <v>22</v>
      </c>
      <c r="H599" s="14">
        <f>H605+H683+H1541+H1649+H1973+H2009+H2057+H1523+H665</f>
        <v>152665.51999999999</v>
      </c>
      <c r="I599" s="26"/>
      <c r="J599" s="28"/>
      <c r="K599" s="22"/>
    </row>
    <row r="600" spans="1:14" x14ac:dyDescent="0.25">
      <c r="A600" s="24"/>
      <c r="B600" s="25"/>
      <c r="C600" s="16" t="s">
        <v>23</v>
      </c>
      <c r="D600" s="14">
        <f>D606+D684+D1542+D1650+D1974+D2010+D2058+D1524+D666</f>
        <v>716585.27</v>
      </c>
      <c r="E600" s="16" t="s">
        <v>23</v>
      </c>
      <c r="F600" s="14">
        <f>F606+F684+F1542+F1650+F1974+F2010+F2058+F1524+F666</f>
        <v>711790.02</v>
      </c>
      <c r="G600" s="16" t="s">
        <v>23</v>
      </c>
      <c r="H600" s="14">
        <f>H606+H684+H1542+H1650+H1974+H2010+H2058+H1524+H666</f>
        <v>718465.3</v>
      </c>
      <c r="I600" s="26"/>
      <c r="J600" s="28"/>
      <c r="K600" s="22"/>
    </row>
    <row r="601" spans="1:14" x14ac:dyDescent="0.25">
      <c r="A601" s="24"/>
      <c r="B601" s="25"/>
      <c r="C601" s="16" t="s">
        <v>24</v>
      </c>
      <c r="D601" s="14">
        <f>D607+D685+D1543+D1651+D1975+D2011+D2059+D1525+D667</f>
        <v>441331.75203999999</v>
      </c>
      <c r="E601" s="16" t="s">
        <v>24</v>
      </c>
      <c r="F601" s="14">
        <f>F607+F685+F1543+F1651+F1975+F2011+F2059+F1525+F667</f>
        <v>491422.33000000007</v>
      </c>
      <c r="G601" s="16" t="s">
        <v>24</v>
      </c>
      <c r="H601" s="14">
        <f>H607+H685+H1543+H1651+H1975+H2011+H2059+H1525+H667</f>
        <v>477848.38000000012</v>
      </c>
      <c r="I601" s="26"/>
      <c r="J601" s="28"/>
      <c r="K601" s="22"/>
    </row>
    <row r="602" spans="1:14" x14ac:dyDescent="0.25">
      <c r="A602" s="24"/>
      <c r="B602" s="25"/>
      <c r="C602" s="16" t="s">
        <v>25</v>
      </c>
      <c r="D602" s="14">
        <f>D608+D686+D1544+D1652+D1976+D2012+D2060+D1526+D668</f>
        <v>0</v>
      </c>
      <c r="E602" s="16" t="s">
        <v>25</v>
      </c>
      <c r="F602" s="14">
        <f>F608+F686+F1544+F1652+F1976+F2012+F2060+F1526+F668</f>
        <v>0</v>
      </c>
      <c r="G602" s="16" t="s">
        <v>25</v>
      </c>
      <c r="H602" s="14">
        <f>H608+H686+H1544+H1652+H1976+H2012+H2060+H1526+H668</f>
        <v>0</v>
      </c>
      <c r="I602" s="26"/>
      <c r="J602" s="28"/>
      <c r="K602" s="22"/>
    </row>
    <row r="603" spans="1:14" x14ac:dyDescent="0.25">
      <c r="A603" s="30" t="s">
        <v>215</v>
      </c>
      <c r="B603" s="31" t="s">
        <v>216</v>
      </c>
      <c r="C603" s="9" t="s">
        <v>28</v>
      </c>
      <c r="D603" s="10">
        <f>D605+D606+D607+D608</f>
        <v>919011.85761999991</v>
      </c>
      <c r="E603" s="9" t="s">
        <v>28</v>
      </c>
      <c r="F603" s="10">
        <f>F605+F606+F607+F608</f>
        <v>896881.12</v>
      </c>
      <c r="G603" s="9" t="s">
        <v>28</v>
      </c>
      <c r="H603" s="10">
        <f>H605+H606+H607+H608</f>
        <v>905716.5</v>
      </c>
      <c r="I603" s="22" t="s">
        <v>104</v>
      </c>
      <c r="J603" s="28"/>
      <c r="K603" s="22" t="s">
        <v>214</v>
      </c>
    </row>
    <row r="604" spans="1:14" x14ac:dyDescent="0.25">
      <c r="A604" s="30"/>
      <c r="B604" s="31"/>
      <c r="C604" s="9" t="s">
        <v>21</v>
      </c>
      <c r="D604" s="10"/>
      <c r="E604" s="9" t="s">
        <v>21</v>
      </c>
      <c r="F604" s="10"/>
      <c r="G604" s="9" t="s">
        <v>21</v>
      </c>
      <c r="H604" s="10"/>
      <c r="I604" s="22"/>
      <c r="J604" s="28"/>
      <c r="K604" s="22"/>
    </row>
    <row r="605" spans="1:14" x14ac:dyDescent="0.25">
      <c r="A605" s="30"/>
      <c r="B605" s="31"/>
      <c r="C605" s="12" t="s">
        <v>22</v>
      </c>
      <c r="D605" s="10">
        <f>D611+D617+D623+D629+D635+D641+D647+D653+D659</f>
        <v>46131.7</v>
      </c>
      <c r="E605" s="12" t="s">
        <v>22</v>
      </c>
      <c r="F605" s="10">
        <f>F611+F617+F623+F629+F635+F641+F647+F653+F659</f>
        <v>0</v>
      </c>
      <c r="G605" s="12" t="s">
        <v>22</v>
      </c>
      <c r="H605" s="10">
        <f>H611+H617+H623+H629+H635+H641+H647+H653+H659</f>
        <v>0</v>
      </c>
      <c r="I605" s="22"/>
      <c r="J605" s="28"/>
      <c r="K605" s="22"/>
    </row>
    <row r="606" spans="1:14" x14ac:dyDescent="0.25">
      <c r="A606" s="30"/>
      <c r="B606" s="31"/>
      <c r="C606" s="12" t="s">
        <v>23</v>
      </c>
      <c r="D606" s="10">
        <f t="shared" ref="D606:F608" si="40">D612+D618+D624+D630+D636+D642+D648+D654+D660</f>
        <v>686473.4</v>
      </c>
      <c r="E606" s="12" t="s">
        <v>23</v>
      </c>
      <c r="F606" s="10">
        <f t="shared" si="40"/>
        <v>705621.4</v>
      </c>
      <c r="G606" s="12" t="s">
        <v>23</v>
      </c>
      <c r="H606" s="10">
        <f t="shared" ref="H606:H608" si="41">H612+H618+H624+H630+H636+H642+H648+H654+H660</f>
        <v>711461.4</v>
      </c>
      <c r="I606" s="22"/>
      <c r="J606" s="28"/>
      <c r="K606" s="22"/>
    </row>
    <row r="607" spans="1:14" x14ac:dyDescent="0.25">
      <c r="A607" s="30"/>
      <c r="B607" s="31"/>
      <c r="C607" s="12" t="s">
        <v>24</v>
      </c>
      <c r="D607" s="10">
        <f t="shared" si="40"/>
        <v>186406.75761999999</v>
      </c>
      <c r="E607" s="12" t="s">
        <v>24</v>
      </c>
      <c r="F607" s="10">
        <f t="shared" si="40"/>
        <v>191259.72</v>
      </c>
      <c r="G607" s="12" t="s">
        <v>24</v>
      </c>
      <c r="H607" s="10">
        <f t="shared" si="41"/>
        <v>194255.1</v>
      </c>
      <c r="I607" s="22"/>
      <c r="J607" s="28"/>
      <c r="K607" s="22"/>
    </row>
    <row r="608" spans="1:14" x14ac:dyDescent="0.25">
      <c r="A608" s="30"/>
      <c r="B608" s="31"/>
      <c r="C608" s="12" t="s">
        <v>25</v>
      </c>
      <c r="D608" s="10">
        <f t="shared" si="40"/>
        <v>0</v>
      </c>
      <c r="E608" s="12" t="s">
        <v>25</v>
      </c>
      <c r="F608" s="10">
        <f t="shared" si="40"/>
        <v>0</v>
      </c>
      <c r="G608" s="12" t="s">
        <v>25</v>
      </c>
      <c r="H608" s="10">
        <f t="shared" si="41"/>
        <v>0</v>
      </c>
      <c r="I608" s="22"/>
      <c r="J608" s="28"/>
      <c r="K608" s="22"/>
    </row>
    <row r="609" spans="1:11" s="4" customFormat="1" x14ac:dyDescent="0.25">
      <c r="A609" s="32" t="s">
        <v>217</v>
      </c>
      <c r="B609" s="21" t="s">
        <v>218</v>
      </c>
      <c r="C609" s="9" t="s">
        <v>28</v>
      </c>
      <c r="D609" s="17">
        <f>D611+D612+D613+D614</f>
        <v>685598.8</v>
      </c>
      <c r="E609" s="9" t="s">
        <v>28</v>
      </c>
      <c r="F609" s="17">
        <f>F611+F612+F613+F614</f>
        <v>705621.4</v>
      </c>
      <c r="G609" s="9" t="s">
        <v>28</v>
      </c>
      <c r="H609" s="17">
        <f>H611+H612+H613+H614</f>
        <v>711461.4</v>
      </c>
      <c r="I609" s="22" t="s">
        <v>104</v>
      </c>
      <c r="J609" s="28"/>
      <c r="K609" s="22" t="s">
        <v>214</v>
      </c>
    </row>
    <row r="610" spans="1:11" s="4" customFormat="1" x14ac:dyDescent="0.25">
      <c r="A610" s="32"/>
      <c r="B610" s="21"/>
      <c r="C610" s="9" t="s">
        <v>21</v>
      </c>
      <c r="D610" s="17"/>
      <c r="E610" s="9" t="s">
        <v>21</v>
      </c>
      <c r="F610" s="17"/>
      <c r="G610" s="9" t="s">
        <v>21</v>
      </c>
      <c r="H610" s="17"/>
      <c r="I610" s="22"/>
      <c r="J610" s="28"/>
      <c r="K610" s="22"/>
    </row>
    <row r="611" spans="1:11" s="4" customFormat="1" x14ac:dyDescent="0.25">
      <c r="A611" s="32"/>
      <c r="B611" s="21"/>
      <c r="C611" s="12" t="s">
        <v>22</v>
      </c>
      <c r="D611" s="17">
        <v>0</v>
      </c>
      <c r="E611" s="12" t="s">
        <v>22</v>
      </c>
      <c r="F611" s="17">
        <v>0</v>
      </c>
      <c r="G611" s="12" t="s">
        <v>22</v>
      </c>
      <c r="H611" s="17">
        <v>0</v>
      </c>
      <c r="I611" s="22"/>
      <c r="J611" s="28"/>
      <c r="K611" s="22"/>
    </row>
    <row r="612" spans="1:11" s="4" customFormat="1" x14ac:dyDescent="0.25">
      <c r="A612" s="32"/>
      <c r="B612" s="21"/>
      <c r="C612" s="12" t="s">
        <v>23</v>
      </c>
      <c r="D612" s="17">
        <v>685598.8</v>
      </c>
      <c r="E612" s="12" t="s">
        <v>23</v>
      </c>
      <c r="F612" s="17">
        <v>705621.4</v>
      </c>
      <c r="G612" s="12" t="s">
        <v>23</v>
      </c>
      <c r="H612" s="17">
        <v>711461.4</v>
      </c>
      <c r="I612" s="22"/>
      <c r="J612" s="28"/>
      <c r="K612" s="22"/>
    </row>
    <row r="613" spans="1:11" s="4" customFormat="1" x14ac:dyDescent="0.25">
      <c r="A613" s="32"/>
      <c r="B613" s="21"/>
      <c r="C613" s="12" t="s">
        <v>24</v>
      </c>
      <c r="D613" s="17">
        <v>0</v>
      </c>
      <c r="E613" s="12" t="s">
        <v>24</v>
      </c>
      <c r="F613" s="17">
        <v>0</v>
      </c>
      <c r="G613" s="12" t="s">
        <v>24</v>
      </c>
      <c r="H613" s="17">
        <v>0</v>
      </c>
      <c r="I613" s="22"/>
      <c r="J613" s="28"/>
      <c r="K613" s="22"/>
    </row>
    <row r="614" spans="1:11" s="4" customFormat="1" ht="33.75" customHeight="1" x14ac:dyDescent="0.25">
      <c r="A614" s="32"/>
      <c r="B614" s="21"/>
      <c r="C614" s="12" t="s">
        <v>25</v>
      </c>
      <c r="D614" s="17">
        <v>0</v>
      </c>
      <c r="E614" s="12" t="s">
        <v>25</v>
      </c>
      <c r="F614" s="17">
        <v>0</v>
      </c>
      <c r="G614" s="12" t="s">
        <v>25</v>
      </c>
      <c r="H614" s="17">
        <v>0</v>
      </c>
      <c r="I614" s="22"/>
      <c r="J614" s="28"/>
      <c r="K614" s="22"/>
    </row>
    <row r="615" spans="1:11" s="4" customFormat="1" x14ac:dyDescent="0.25">
      <c r="A615" s="32" t="s">
        <v>219</v>
      </c>
      <c r="B615" s="21" t="s">
        <v>220</v>
      </c>
      <c r="C615" s="9" t="s">
        <v>28</v>
      </c>
      <c r="D615" s="17">
        <v>94931.8</v>
      </c>
      <c r="E615" s="9" t="s">
        <v>28</v>
      </c>
      <c r="F615" s="17">
        <v>94931.7</v>
      </c>
      <c r="G615" s="9" t="s">
        <v>28</v>
      </c>
      <c r="H615" s="17">
        <v>94931.7</v>
      </c>
      <c r="I615" s="22" t="s">
        <v>104</v>
      </c>
      <c r="J615" s="28"/>
      <c r="K615" s="22" t="s">
        <v>214</v>
      </c>
    </row>
    <row r="616" spans="1:11" s="4" customFormat="1" x14ac:dyDescent="0.25">
      <c r="A616" s="32"/>
      <c r="B616" s="21"/>
      <c r="C616" s="9" t="s">
        <v>21</v>
      </c>
      <c r="D616" s="17"/>
      <c r="E616" s="9" t="s">
        <v>21</v>
      </c>
      <c r="F616" s="17"/>
      <c r="G616" s="9" t="s">
        <v>21</v>
      </c>
      <c r="H616" s="17"/>
      <c r="I616" s="22"/>
      <c r="J616" s="28"/>
      <c r="K616" s="22"/>
    </row>
    <row r="617" spans="1:11" s="4" customFormat="1" x14ac:dyDescent="0.25">
      <c r="A617" s="32"/>
      <c r="B617" s="21"/>
      <c r="C617" s="12" t="s">
        <v>22</v>
      </c>
      <c r="D617" s="17">
        <v>0</v>
      </c>
      <c r="E617" s="12" t="s">
        <v>22</v>
      </c>
      <c r="F617" s="17">
        <v>0</v>
      </c>
      <c r="G617" s="12" t="s">
        <v>22</v>
      </c>
      <c r="H617" s="17">
        <v>0</v>
      </c>
      <c r="I617" s="22"/>
      <c r="J617" s="28"/>
      <c r="K617" s="22"/>
    </row>
    <row r="618" spans="1:11" s="4" customFormat="1" x14ac:dyDescent="0.25">
      <c r="A618" s="32"/>
      <c r="B618" s="21"/>
      <c r="C618" s="12" t="s">
        <v>23</v>
      </c>
      <c r="D618" s="17">
        <v>0</v>
      </c>
      <c r="E618" s="12" t="s">
        <v>23</v>
      </c>
      <c r="F618" s="17">
        <v>0</v>
      </c>
      <c r="G618" s="12" t="s">
        <v>23</v>
      </c>
      <c r="H618" s="17">
        <v>0</v>
      </c>
      <c r="I618" s="22"/>
      <c r="J618" s="28"/>
      <c r="K618" s="22"/>
    </row>
    <row r="619" spans="1:11" s="4" customFormat="1" x14ac:dyDescent="0.25">
      <c r="A619" s="32"/>
      <c r="B619" s="21"/>
      <c r="C619" s="12" t="s">
        <v>24</v>
      </c>
      <c r="D619" s="17">
        <f>(70558790+18735188.52+3594300)/1000</f>
        <v>92888.278519999993</v>
      </c>
      <c r="E619" s="12" t="s">
        <v>24</v>
      </c>
      <c r="F619" s="17">
        <v>108753.12</v>
      </c>
      <c r="G619" s="12" t="s">
        <v>24</v>
      </c>
      <c r="H619" s="17">
        <v>114571</v>
      </c>
      <c r="I619" s="22"/>
      <c r="J619" s="28"/>
      <c r="K619" s="22"/>
    </row>
    <row r="620" spans="1:11" s="4" customFormat="1" x14ac:dyDescent="0.25">
      <c r="A620" s="32"/>
      <c r="B620" s="21"/>
      <c r="C620" s="12" t="s">
        <v>25</v>
      </c>
      <c r="D620" s="17">
        <v>0</v>
      </c>
      <c r="E620" s="12" t="s">
        <v>25</v>
      </c>
      <c r="F620" s="17">
        <v>0</v>
      </c>
      <c r="G620" s="12" t="s">
        <v>25</v>
      </c>
      <c r="H620" s="17">
        <v>0</v>
      </c>
      <c r="I620" s="22"/>
      <c r="J620" s="28"/>
      <c r="K620" s="22"/>
    </row>
    <row r="621" spans="1:11" s="4" customFormat="1" x14ac:dyDescent="0.25">
      <c r="A621" s="32" t="s">
        <v>221</v>
      </c>
      <c r="B621" s="21" t="s">
        <v>222</v>
      </c>
      <c r="C621" s="9" t="s">
        <v>28</v>
      </c>
      <c r="D621" s="17">
        <f>D623+D624+D625+D626</f>
        <v>54863.25</v>
      </c>
      <c r="E621" s="9" t="s">
        <v>28</v>
      </c>
      <c r="F621" s="17">
        <f>F623+F624+F625+F626</f>
        <v>62386</v>
      </c>
      <c r="G621" s="9" t="s">
        <v>28</v>
      </c>
      <c r="H621" s="17">
        <f>H623+H624+H625+H626</f>
        <v>67910.5</v>
      </c>
      <c r="I621" s="22" t="s">
        <v>104</v>
      </c>
      <c r="J621" s="28"/>
      <c r="K621" s="22" t="s">
        <v>214</v>
      </c>
    </row>
    <row r="622" spans="1:11" s="4" customFormat="1" x14ac:dyDescent="0.25">
      <c r="A622" s="32"/>
      <c r="B622" s="21"/>
      <c r="C622" s="9" t="s">
        <v>21</v>
      </c>
      <c r="D622" s="17"/>
      <c r="E622" s="9" t="s">
        <v>21</v>
      </c>
      <c r="F622" s="17"/>
      <c r="G622" s="9" t="s">
        <v>21</v>
      </c>
      <c r="H622" s="17"/>
      <c r="I622" s="22"/>
      <c r="J622" s="28"/>
      <c r="K622" s="22"/>
    </row>
    <row r="623" spans="1:11" s="4" customFormat="1" x14ac:dyDescent="0.25">
      <c r="A623" s="32"/>
      <c r="B623" s="21"/>
      <c r="C623" s="12" t="s">
        <v>22</v>
      </c>
      <c r="D623" s="17">
        <v>0</v>
      </c>
      <c r="E623" s="12" t="s">
        <v>22</v>
      </c>
      <c r="F623" s="17">
        <v>0</v>
      </c>
      <c r="G623" s="12" t="s">
        <v>22</v>
      </c>
      <c r="H623" s="17">
        <v>0</v>
      </c>
      <c r="I623" s="22"/>
      <c r="J623" s="28"/>
      <c r="K623" s="22"/>
    </row>
    <row r="624" spans="1:11" s="4" customFormat="1" x14ac:dyDescent="0.25">
      <c r="A624" s="32"/>
      <c r="B624" s="21"/>
      <c r="C624" s="12" t="s">
        <v>23</v>
      </c>
      <c r="D624" s="17">
        <v>0</v>
      </c>
      <c r="E624" s="12" t="s">
        <v>23</v>
      </c>
      <c r="F624" s="17">
        <v>0</v>
      </c>
      <c r="G624" s="12" t="s">
        <v>23</v>
      </c>
      <c r="H624" s="17">
        <v>0</v>
      </c>
      <c r="I624" s="22"/>
      <c r="J624" s="28"/>
      <c r="K624" s="22"/>
    </row>
    <row r="625" spans="1:11" s="4" customFormat="1" x14ac:dyDescent="0.25">
      <c r="A625" s="32"/>
      <c r="B625" s="21"/>
      <c r="C625" s="12" t="s">
        <v>24</v>
      </c>
      <c r="D625" s="17">
        <v>54863.25</v>
      </c>
      <c r="E625" s="12" t="s">
        <v>24</v>
      </c>
      <c r="F625" s="17">
        <v>62386</v>
      </c>
      <c r="G625" s="12" t="s">
        <v>24</v>
      </c>
      <c r="H625" s="17">
        <v>67910.5</v>
      </c>
      <c r="I625" s="22"/>
      <c r="J625" s="28"/>
      <c r="K625" s="22"/>
    </row>
    <row r="626" spans="1:11" s="4" customFormat="1" x14ac:dyDescent="0.25">
      <c r="A626" s="32"/>
      <c r="B626" s="21"/>
      <c r="C626" s="12" t="s">
        <v>25</v>
      </c>
      <c r="D626" s="17">
        <v>0</v>
      </c>
      <c r="E626" s="12" t="s">
        <v>25</v>
      </c>
      <c r="F626" s="17">
        <v>0</v>
      </c>
      <c r="G626" s="12" t="s">
        <v>25</v>
      </c>
      <c r="H626" s="17">
        <v>0</v>
      </c>
      <c r="I626" s="22"/>
      <c r="J626" s="28"/>
      <c r="K626" s="22"/>
    </row>
    <row r="627" spans="1:11" s="4" customFormat="1" x14ac:dyDescent="0.25">
      <c r="A627" s="32" t="s">
        <v>223</v>
      </c>
      <c r="B627" s="21" t="s">
        <v>224</v>
      </c>
      <c r="C627" s="9" t="s">
        <v>28</v>
      </c>
      <c r="D627" s="17">
        <f>D629+D630+D631+D632</f>
        <v>3210.2</v>
      </c>
      <c r="E627" s="9" t="s">
        <v>28</v>
      </c>
      <c r="F627" s="17">
        <f>F629+F630+F631+F632</f>
        <v>3500</v>
      </c>
      <c r="G627" s="9" t="s">
        <v>28</v>
      </c>
      <c r="H627" s="17">
        <f>H629+H630+H631+H632</f>
        <v>7776.9</v>
      </c>
      <c r="I627" s="22" t="s">
        <v>104</v>
      </c>
      <c r="J627" s="28"/>
      <c r="K627" s="22" t="s">
        <v>214</v>
      </c>
    </row>
    <row r="628" spans="1:11" s="4" customFormat="1" x14ac:dyDescent="0.25">
      <c r="A628" s="32"/>
      <c r="B628" s="21"/>
      <c r="C628" s="9" t="s">
        <v>21</v>
      </c>
      <c r="D628" s="17"/>
      <c r="E628" s="9" t="s">
        <v>21</v>
      </c>
      <c r="F628" s="17"/>
      <c r="G628" s="9" t="s">
        <v>21</v>
      </c>
      <c r="H628" s="17"/>
      <c r="I628" s="22"/>
      <c r="J628" s="28"/>
      <c r="K628" s="22"/>
    </row>
    <row r="629" spans="1:11" s="4" customFormat="1" x14ac:dyDescent="0.25">
      <c r="A629" s="32"/>
      <c r="B629" s="21"/>
      <c r="C629" s="12" t="s">
        <v>22</v>
      </c>
      <c r="D629" s="17">
        <v>0</v>
      </c>
      <c r="E629" s="12" t="s">
        <v>22</v>
      </c>
      <c r="F629" s="17">
        <v>0</v>
      </c>
      <c r="G629" s="12" t="s">
        <v>22</v>
      </c>
      <c r="H629" s="17">
        <v>0</v>
      </c>
      <c r="I629" s="22"/>
      <c r="J629" s="28"/>
      <c r="K629" s="22"/>
    </row>
    <row r="630" spans="1:11" s="4" customFormat="1" x14ac:dyDescent="0.25">
      <c r="A630" s="32"/>
      <c r="B630" s="21"/>
      <c r="C630" s="12" t="s">
        <v>23</v>
      </c>
      <c r="D630" s="17">
        <v>0</v>
      </c>
      <c r="E630" s="12" t="s">
        <v>23</v>
      </c>
      <c r="F630" s="17">
        <v>0</v>
      </c>
      <c r="G630" s="12" t="s">
        <v>23</v>
      </c>
      <c r="H630" s="17">
        <v>0</v>
      </c>
      <c r="I630" s="22"/>
      <c r="J630" s="28"/>
      <c r="K630" s="22"/>
    </row>
    <row r="631" spans="1:11" s="4" customFormat="1" x14ac:dyDescent="0.25">
      <c r="A631" s="32"/>
      <c r="B631" s="21"/>
      <c r="C631" s="12" t="s">
        <v>24</v>
      </c>
      <c r="D631" s="17">
        <f>3210200/1000</f>
        <v>3210.2</v>
      </c>
      <c r="E631" s="12" t="s">
        <v>24</v>
      </c>
      <c r="F631" s="17">
        <v>3500</v>
      </c>
      <c r="G631" s="12" t="s">
        <v>24</v>
      </c>
      <c r="H631" s="17">
        <v>7776.9</v>
      </c>
      <c r="I631" s="22"/>
      <c r="J631" s="28"/>
      <c r="K631" s="22"/>
    </row>
    <row r="632" spans="1:11" s="4" customFormat="1" x14ac:dyDescent="0.25">
      <c r="A632" s="32"/>
      <c r="B632" s="21"/>
      <c r="C632" s="12" t="s">
        <v>25</v>
      </c>
      <c r="D632" s="17">
        <v>0</v>
      </c>
      <c r="E632" s="12" t="s">
        <v>25</v>
      </c>
      <c r="F632" s="17">
        <v>0</v>
      </c>
      <c r="G632" s="12" t="s">
        <v>25</v>
      </c>
      <c r="H632" s="17">
        <v>0</v>
      </c>
      <c r="I632" s="22"/>
      <c r="J632" s="28"/>
      <c r="K632" s="22"/>
    </row>
    <row r="633" spans="1:11" s="4" customFormat="1" x14ac:dyDescent="0.25">
      <c r="A633" s="32" t="s">
        <v>225</v>
      </c>
      <c r="B633" s="21" t="s">
        <v>226</v>
      </c>
      <c r="C633" s="9" t="s">
        <v>28</v>
      </c>
      <c r="D633" s="17">
        <f>D635+D636+D637+D638</f>
        <v>27920.52</v>
      </c>
      <c r="E633" s="9" t="s">
        <v>28</v>
      </c>
      <c r="F633" s="17">
        <f>F635+F636+F637+F638</f>
        <v>15820.6</v>
      </c>
      <c r="G633" s="9" t="s">
        <v>28</v>
      </c>
      <c r="H633" s="17">
        <f>H635+H636+H637+H638</f>
        <v>2317.1</v>
      </c>
      <c r="I633" s="22" t="s">
        <v>104</v>
      </c>
      <c r="J633" s="28"/>
      <c r="K633" s="22" t="s">
        <v>214</v>
      </c>
    </row>
    <row r="634" spans="1:11" s="4" customFormat="1" x14ac:dyDescent="0.25">
      <c r="A634" s="32"/>
      <c r="B634" s="21"/>
      <c r="C634" s="9" t="s">
        <v>21</v>
      </c>
      <c r="D634" s="17"/>
      <c r="E634" s="9" t="s">
        <v>21</v>
      </c>
      <c r="F634" s="17"/>
      <c r="G634" s="9" t="s">
        <v>21</v>
      </c>
      <c r="H634" s="17"/>
      <c r="I634" s="22"/>
      <c r="J634" s="28"/>
      <c r="K634" s="22"/>
    </row>
    <row r="635" spans="1:11" s="4" customFormat="1" x14ac:dyDescent="0.25">
      <c r="A635" s="32"/>
      <c r="B635" s="21"/>
      <c r="C635" s="12" t="s">
        <v>22</v>
      </c>
      <c r="D635" s="17">
        <v>0</v>
      </c>
      <c r="E635" s="12" t="s">
        <v>22</v>
      </c>
      <c r="F635" s="17">
        <v>0</v>
      </c>
      <c r="G635" s="12" t="s">
        <v>22</v>
      </c>
      <c r="H635" s="17">
        <v>0</v>
      </c>
      <c r="I635" s="22"/>
      <c r="J635" s="28"/>
      <c r="K635" s="22"/>
    </row>
    <row r="636" spans="1:11" s="4" customFormat="1" x14ac:dyDescent="0.25">
      <c r="A636" s="32"/>
      <c r="B636" s="21"/>
      <c r="C636" s="12" t="s">
        <v>23</v>
      </c>
      <c r="D636" s="17">
        <v>0</v>
      </c>
      <c r="E636" s="12" t="s">
        <v>23</v>
      </c>
      <c r="F636" s="17">
        <v>0</v>
      </c>
      <c r="G636" s="12" t="s">
        <v>23</v>
      </c>
      <c r="H636" s="17">
        <v>0</v>
      </c>
      <c r="I636" s="22"/>
      <c r="J636" s="28"/>
      <c r="K636" s="22"/>
    </row>
    <row r="637" spans="1:11" s="4" customFormat="1" x14ac:dyDescent="0.25">
      <c r="A637" s="32"/>
      <c r="B637" s="21"/>
      <c r="C637" s="12" t="s">
        <v>24</v>
      </c>
      <c r="D637" s="17">
        <v>27920.52</v>
      </c>
      <c r="E637" s="12" t="s">
        <v>24</v>
      </c>
      <c r="F637" s="17">
        <v>15820.6</v>
      </c>
      <c r="G637" s="12" t="s">
        <v>24</v>
      </c>
      <c r="H637" s="17">
        <v>2317.1</v>
      </c>
      <c r="I637" s="22"/>
      <c r="J637" s="28"/>
      <c r="K637" s="22"/>
    </row>
    <row r="638" spans="1:11" s="4" customFormat="1" x14ac:dyDescent="0.25">
      <c r="A638" s="32"/>
      <c r="B638" s="21"/>
      <c r="C638" s="12" t="s">
        <v>25</v>
      </c>
      <c r="D638" s="17">
        <v>0</v>
      </c>
      <c r="E638" s="12" t="s">
        <v>25</v>
      </c>
      <c r="F638" s="17">
        <v>0</v>
      </c>
      <c r="G638" s="12" t="s">
        <v>25</v>
      </c>
      <c r="H638" s="17">
        <v>0</v>
      </c>
      <c r="I638" s="22"/>
      <c r="J638" s="28"/>
      <c r="K638" s="22"/>
    </row>
    <row r="639" spans="1:11" s="4" customFormat="1" x14ac:dyDescent="0.25">
      <c r="A639" s="32" t="s">
        <v>227</v>
      </c>
      <c r="B639" s="21" t="s">
        <v>228</v>
      </c>
      <c r="C639" s="9" t="s">
        <v>28</v>
      </c>
      <c r="D639" s="17">
        <f>D641+D642+D643+D644</f>
        <v>46131.7</v>
      </c>
      <c r="E639" s="9" t="s">
        <v>28</v>
      </c>
      <c r="F639" s="17">
        <f>F641+F642+F643+F644</f>
        <v>0</v>
      </c>
      <c r="G639" s="9" t="s">
        <v>28</v>
      </c>
      <c r="H639" s="17">
        <f>H641+H642+H643+H644</f>
        <v>0</v>
      </c>
      <c r="I639" s="22" t="s">
        <v>104</v>
      </c>
      <c r="J639" s="28"/>
      <c r="K639" s="22" t="s">
        <v>214</v>
      </c>
    </row>
    <row r="640" spans="1:11" s="4" customFormat="1" x14ac:dyDescent="0.25">
      <c r="A640" s="32"/>
      <c r="B640" s="21"/>
      <c r="C640" s="9" t="s">
        <v>21</v>
      </c>
      <c r="D640" s="17"/>
      <c r="E640" s="9" t="s">
        <v>21</v>
      </c>
      <c r="F640" s="17"/>
      <c r="G640" s="9" t="s">
        <v>21</v>
      </c>
      <c r="H640" s="17"/>
      <c r="I640" s="22"/>
      <c r="J640" s="28"/>
      <c r="K640" s="22"/>
    </row>
    <row r="641" spans="1:11" s="4" customFormat="1" x14ac:dyDescent="0.25">
      <c r="A641" s="32"/>
      <c r="B641" s="21"/>
      <c r="C641" s="12" t="s">
        <v>22</v>
      </c>
      <c r="D641" s="17">
        <v>46131.7</v>
      </c>
      <c r="E641" s="12" t="s">
        <v>22</v>
      </c>
      <c r="F641" s="17">
        <v>0</v>
      </c>
      <c r="G641" s="12" t="s">
        <v>22</v>
      </c>
      <c r="H641" s="17">
        <v>0</v>
      </c>
      <c r="I641" s="22"/>
      <c r="J641" s="28"/>
      <c r="K641" s="22"/>
    </row>
    <row r="642" spans="1:11" s="4" customFormat="1" x14ac:dyDescent="0.25">
      <c r="A642" s="32"/>
      <c r="B642" s="21"/>
      <c r="C642" s="12" t="s">
        <v>23</v>
      </c>
      <c r="D642" s="17">
        <v>0</v>
      </c>
      <c r="E642" s="12" t="s">
        <v>23</v>
      </c>
      <c r="F642" s="17">
        <v>0</v>
      </c>
      <c r="G642" s="12" t="s">
        <v>23</v>
      </c>
      <c r="H642" s="17">
        <v>0</v>
      </c>
      <c r="I642" s="22"/>
      <c r="J642" s="28"/>
      <c r="K642" s="22"/>
    </row>
    <row r="643" spans="1:11" s="4" customFormat="1" x14ac:dyDescent="0.25">
      <c r="A643" s="32"/>
      <c r="B643" s="21"/>
      <c r="C643" s="12" t="s">
        <v>24</v>
      </c>
      <c r="D643" s="17">
        <v>0</v>
      </c>
      <c r="E643" s="12" t="s">
        <v>24</v>
      </c>
      <c r="F643" s="17">
        <v>0</v>
      </c>
      <c r="G643" s="12" t="s">
        <v>24</v>
      </c>
      <c r="H643" s="17">
        <v>0</v>
      </c>
      <c r="I643" s="22"/>
      <c r="J643" s="28"/>
      <c r="K643" s="22"/>
    </row>
    <row r="644" spans="1:11" s="4" customFormat="1" ht="36" customHeight="1" x14ac:dyDescent="0.25">
      <c r="A644" s="32"/>
      <c r="B644" s="21"/>
      <c r="C644" s="12" t="s">
        <v>25</v>
      </c>
      <c r="D644" s="17">
        <v>0</v>
      </c>
      <c r="E644" s="12" t="s">
        <v>25</v>
      </c>
      <c r="F644" s="17">
        <v>0</v>
      </c>
      <c r="G644" s="12" t="s">
        <v>25</v>
      </c>
      <c r="H644" s="17">
        <v>0</v>
      </c>
      <c r="I644" s="22"/>
      <c r="J644" s="28"/>
      <c r="K644" s="22"/>
    </row>
    <row r="645" spans="1:11" s="4" customFormat="1" x14ac:dyDescent="0.25">
      <c r="A645" s="32" t="s">
        <v>229</v>
      </c>
      <c r="B645" s="21" t="s">
        <v>230</v>
      </c>
      <c r="C645" s="9" t="s">
        <v>28</v>
      </c>
      <c r="D645" s="17">
        <f>D647+D648+D649+D650</f>
        <v>883.80910000000006</v>
      </c>
      <c r="E645" s="9" t="s">
        <v>28</v>
      </c>
      <c r="F645" s="17">
        <f>F647+F648+F649+F650</f>
        <v>0</v>
      </c>
      <c r="G645" s="9" t="s">
        <v>28</v>
      </c>
      <c r="H645" s="17">
        <f>H647+H648+H649+H650</f>
        <v>0</v>
      </c>
      <c r="I645" s="22" t="s">
        <v>104</v>
      </c>
      <c r="J645" s="28"/>
      <c r="K645" s="22" t="s">
        <v>214</v>
      </c>
    </row>
    <row r="646" spans="1:11" s="4" customFormat="1" x14ac:dyDescent="0.25">
      <c r="A646" s="32"/>
      <c r="B646" s="21"/>
      <c r="C646" s="9" t="s">
        <v>21</v>
      </c>
      <c r="D646" s="17"/>
      <c r="E646" s="9" t="s">
        <v>21</v>
      </c>
      <c r="F646" s="17"/>
      <c r="G646" s="9" t="s">
        <v>21</v>
      </c>
      <c r="H646" s="17"/>
      <c r="I646" s="22"/>
      <c r="J646" s="28"/>
      <c r="K646" s="22"/>
    </row>
    <row r="647" spans="1:11" s="4" customFormat="1" x14ac:dyDescent="0.25">
      <c r="A647" s="32"/>
      <c r="B647" s="21"/>
      <c r="C647" s="12" t="s">
        <v>22</v>
      </c>
      <c r="D647" s="17">
        <v>0</v>
      </c>
      <c r="E647" s="12" t="s">
        <v>22</v>
      </c>
      <c r="F647" s="17">
        <v>0</v>
      </c>
      <c r="G647" s="12" t="s">
        <v>22</v>
      </c>
      <c r="H647" s="17">
        <v>0</v>
      </c>
      <c r="I647" s="22"/>
      <c r="J647" s="28"/>
      <c r="K647" s="22"/>
    </row>
    <row r="648" spans="1:11" s="4" customFormat="1" x14ac:dyDescent="0.25">
      <c r="A648" s="32"/>
      <c r="B648" s="21"/>
      <c r="C648" s="12" t="s">
        <v>23</v>
      </c>
      <c r="D648" s="17">
        <v>874.6</v>
      </c>
      <c r="E648" s="12" t="s">
        <v>23</v>
      </c>
      <c r="F648" s="17">
        <v>0</v>
      </c>
      <c r="G648" s="12" t="s">
        <v>23</v>
      </c>
      <c r="H648" s="17">
        <v>0</v>
      </c>
      <c r="I648" s="22"/>
      <c r="J648" s="28"/>
      <c r="K648" s="22"/>
    </row>
    <row r="649" spans="1:11" s="4" customFormat="1" x14ac:dyDescent="0.25">
      <c r="A649" s="32"/>
      <c r="B649" s="21"/>
      <c r="C649" s="12" t="s">
        <v>24</v>
      </c>
      <c r="D649" s="17">
        <f>9209.1/1000</f>
        <v>9.2091000000000012</v>
      </c>
      <c r="E649" s="12" t="s">
        <v>24</v>
      </c>
      <c r="F649" s="17">
        <v>0</v>
      </c>
      <c r="G649" s="12" t="s">
        <v>24</v>
      </c>
      <c r="H649" s="17">
        <v>0</v>
      </c>
      <c r="I649" s="22"/>
      <c r="J649" s="28"/>
      <c r="K649" s="22"/>
    </row>
    <row r="650" spans="1:11" s="4" customFormat="1" x14ac:dyDescent="0.25">
      <c r="A650" s="32"/>
      <c r="B650" s="21"/>
      <c r="C650" s="12" t="s">
        <v>25</v>
      </c>
      <c r="D650" s="17">
        <v>0</v>
      </c>
      <c r="E650" s="12" t="s">
        <v>25</v>
      </c>
      <c r="F650" s="17">
        <v>0</v>
      </c>
      <c r="G650" s="12" t="s">
        <v>25</v>
      </c>
      <c r="H650" s="17">
        <v>0</v>
      </c>
      <c r="I650" s="22"/>
      <c r="J650" s="28"/>
      <c r="K650" s="22"/>
    </row>
    <row r="651" spans="1:11" s="4" customFormat="1" x14ac:dyDescent="0.25">
      <c r="A651" s="32" t="s">
        <v>231</v>
      </c>
      <c r="B651" s="36" t="s">
        <v>232</v>
      </c>
      <c r="C651" s="9" t="s">
        <v>28</v>
      </c>
      <c r="D651" s="17">
        <f>D653+D654+D655+D656</f>
        <v>1008</v>
      </c>
      <c r="E651" s="9" t="s">
        <v>28</v>
      </c>
      <c r="F651" s="17">
        <f>F653+F654+F655+F656</f>
        <v>800</v>
      </c>
      <c r="G651" s="9" t="s">
        <v>28</v>
      </c>
      <c r="H651" s="17">
        <f>H653+H654+H655+H656</f>
        <v>1679.6</v>
      </c>
      <c r="I651" s="22" t="s">
        <v>104</v>
      </c>
      <c r="J651" s="28"/>
      <c r="K651" s="27" t="s">
        <v>214</v>
      </c>
    </row>
    <row r="652" spans="1:11" s="4" customFormat="1" x14ac:dyDescent="0.25">
      <c r="A652" s="32"/>
      <c r="B652" s="37"/>
      <c r="C652" s="9" t="s">
        <v>21</v>
      </c>
      <c r="D652" s="17"/>
      <c r="E652" s="9" t="s">
        <v>21</v>
      </c>
      <c r="F652" s="17"/>
      <c r="G652" s="9" t="s">
        <v>21</v>
      </c>
      <c r="H652" s="17"/>
      <c r="I652" s="22"/>
      <c r="J652" s="28"/>
      <c r="K652" s="28"/>
    </row>
    <row r="653" spans="1:11" s="4" customFormat="1" x14ac:dyDescent="0.25">
      <c r="A653" s="32"/>
      <c r="B653" s="37"/>
      <c r="C653" s="12" t="s">
        <v>22</v>
      </c>
      <c r="D653" s="17">
        <v>0</v>
      </c>
      <c r="E653" s="12" t="s">
        <v>22</v>
      </c>
      <c r="F653" s="17">
        <v>0</v>
      </c>
      <c r="G653" s="12" t="s">
        <v>22</v>
      </c>
      <c r="H653" s="17">
        <v>0</v>
      </c>
      <c r="I653" s="22"/>
      <c r="J653" s="28"/>
      <c r="K653" s="28"/>
    </row>
    <row r="654" spans="1:11" s="4" customFormat="1" x14ac:dyDescent="0.25">
      <c r="A654" s="32"/>
      <c r="B654" s="37"/>
      <c r="C654" s="12" t="s">
        <v>23</v>
      </c>
      <c r="D654" s="17">
        <v>0</v>
      </c>
      <c r="E654" s="12" t="s">
        <v>23</v>
      </c>
      <c r="F654" s="17">
        <v>0</v>
      </c>
      <c r="G654" s="12" t="s">
        <v>23</v>
      </c>
      <c r="H654" s="17">
        <v>0</v>
      </c>
      <c r="I654" s="22"/>
      <c r="J654" s="28"/>
      <c r="K654" s="28"/>
    </row>
    <row r="655" spans="1:11" s="4" customFormat="1" ht="17.25" customHeight="1" x14ac:dyDescent="0.25">
      <c r="A655" s="32"/>
      <c r="B655" s="37"/>
      <c r="C655" s="12" t="s">
        <v>24</v>
      </c>
      <c r="D655" s="17">
        <v>1008</v>
      </c>
      <c r="E655" s="12" t="s">
        <v>24</v>
      </c>
      <c r="F655" s="17">
        <v>800</v>
      </c>
      <c r="G655" s="12" t="s">
        <v>24</v>
      </c>
      <c r="H655" s="17">
        <v>1679.6</v>
      </c>
      <c r="I655" s="22"/>
      <c r="J655" s="28"/>
      <c r="K655" s="28"/>
    </row>
    <row r="656" spans="1:11" s="4" customFormat="1" x14ac:dyDescent="0.25">
      <c r="A656" s="32"/>
      <c r="B656" s="38"/>
      <c r="C656" s="12" t="s">
        <v>25</v>
      </c>
      <c r="D656" s="17">
        <v>0</v>
      </c>
      <c r="E656" s="12" t="s">
        <v>25</v>
      </c>
      <c r="F656" s="17">
        <v>0</v>
      </c>
      <c r="G656" s="12" t="s">
        <v>25</v>
      </c>
      <c r="H656" s="17">
        <v>0</v>
      </c>
      <c r="I656" s="22"/>
      <c r="J656" s="28"/>
      <c r="K656" s="29"/>
    </row>
    <row r="657" spans="1:11" s="4" customFormat="1" x14ac:dyDescent="0.25">
      <c r="A657" s="32" t="s">
        <v>233</v>
      </c>
      <c r="B657" s="36" t="s">
        <v>234</v>
      </c>
      <c r="C657" s="9" t="s">
        <v>28</v>
      </c>
      <c r="D657" s="17">
        <f>D659+D660+D661+D662</f>
        <v>6507.3</v>
      </c>
      <c r="E657" s="9" t="s">
        <v>28</v>
      </c>
      <c r="F657" s="17">
        <f>F659+F660+F661+F662</f>
        <v>0</v>
      </c>
      <c r="G657" s="9" t="s">
        <v>28</v>
      </c>
      <c r="H657" s="17">
        <f>H659+H660+H661+H662</f>
        <v>0</v>
      </c>
      <c r="I657" s="22" t="s">
        <v>104</v>
      </c>
      <c r="J657" s="15"/>
      <c r="K657" s="27" t="s">
        <v>214</v>
      </c>
    </row>
    <row r="658" spans="1:11" s="4" customFormat="1" x14ac:dyDescent="0.25">
      <c r="A658" s="32"/>
      <c r="B658" s="37"/>
      <c r="C658" s="9" t="s">
        <v>21</v>
      </c>
      <c r="D658" s="17"/>
      <c r="E658" s="9" t="s">
        <v>21</v>
      </c>
      <c r="F658" s="17"/>
      <c r="G658" s="9" t="s">
        <v>21</v>
      </c>
      <c r="H658" s="17"/>
      <c r="I658" s="22"/>
      <c r="J658" s="15"/>
      <c r="K658" s="28"/>
    </row>
    <row r="659" spans="1:11" s="4" customFormat="1" x14ac:dyDescent="0.25">
      <c r="A659" s="32"/>
      <c r="B659" s="37"/>
      <c r="C659" s="12" t="s">
        <v>22</v>
      </c>
      <c r="D659" s="17">
        <v>0</v>
      </c>
      <c r="E659" s="12" t="s">
        <v>22</v>
      </c>
      <c r="F659" s="17">
        <v>0</v>
      </c>
      <c r="G659" s="12" t="s">
        <v>22</v>
      </c>
      <c r="H659" s="17">
        <v>0</v>
      </c>
      <c r="I659" s="22"/>
      <c r="J659" s="15"/>
      <c r="K659" s="28"/>
    </row>
    <row r="660" spans="1:11" s="4" customFormat="1" x14ac:dyDescent="0.25">
      <c r="A660" s="32"/>
      <c r="B660" s="37"/>
      <c r="C660" s="12" t="s">
        <v>23</v>
      </c>
      <c r="D660" s="17">
        <v>0</v>
      </c>
      <c r="E660" s="12" t="s">
        <v>23</v>
      </c>
      <c r="F660" s="17">
        <v>0</v>
      </c>
      <c r="G660" s="12" t="s">
        <v>23</v>
      </c>
      <c r="H660" s="17">
        <v>0</v>
      </c>
      <c r="I660" s="22"/>
      <c r="J660" s="15"/>
      <c r="K660" s="28"/>
    </row>
    <row r="661" spans="1:11" s="4" customFormat="1" x14ac:dyDescent="0.25">
      <c r="A661" s="32"/>
      <c r="B661" s="37"/>
      <c r="C661" s="12" t="s">
        <v>24</v>
      </c>
      <c r="D661" s="17">
        <v>6507.3</v>
      </c>
      <c r="E661" s="12" t="s">
        <v>24</v>
      </c>
      <c r="F661" s="17">
        <v>0</v>
      </c>
      <c r="G661" s="12" t="s">
        <v>24</v>
      </c>
      <c r="H661" s="17">
        <v>0</v>
      </c>
      <c r="I661" s="22"/>
      <c r="J661" s="15"/>
      <c r="K661" s="28"/>
    </row>
    <row r="662" spans="1:11" s="4" customFormat="1" x14ac:dyDescent="0.25">
      <c r="A662" s="32"/>
      <c r="B662" s="38"/>
      <c r="C662" s="12" t="s">
        <v>25</v>
      </c>
      <c r="D662" s="17">
        <v>0</v>
      </c>
      <c r="E662" s="12" t="s">
        <v>25</v>
      </c>
      <c r="F662" s="17">
        <v>0</v>
      </c>
      <c r="G662" s="12" t="s">
        <v>25</v>
      </c>
      <c r="H662" s="17">
        <v>0</v>
      </c>
      <c r="I662" s="22"/>
      <c r="J662" s="15"/>
      <c r="K662" s="29"/>
    </row>
    <row r="663" spans="1:11" s="4" customFormat="1" x14ac:dyDescent="0.25">
      <c r="A663" s="30" t="s">
        <v>235</v>
      </c>
      <c r="B663" s="31" t="s">
        <v>236</v>
      </c>
      <c r="C663" s="9" t="s">
        <v>28</v>
      </c>
      <c r="D663" s="10">
        <f>D665+D666+D667+D668</f>
        <v>2031.1</v>
      </c>
      <c r="E663" s="9" t="s">
        <v>28</v>
      </c>
      <c r="F663" s="10">
        <f>F665+F666+F667+F668</f>
        <v>6575.3</v>
      </c>
      <c r="G663" s="9" t="s">
        <v>28</v>
      </c>
      <c r="H663" s="10">
        <f>H665+H666+H667+H668</f>
        <v>7353.3</v>
      </c>
      <c r="I663" s="54" t="s">
        <v>104</v>
      </c>
      <c r="J663" s="15"/>
      <c r="K663" s="55" t="s">
        <v>214</v>
      </c>
    </row>
    <row r="664" spans="1:11" s="4" customFormat="1" x14ac:dyDescent="0.25">
      <c r="A664" s="30"/>
      <c r="B664" s="31"/>
      <c r="C664" s="9" t="s">
        <v>21</v>
      </c>
      <c r="D664" s="10"/>
      <c r="E664" s="9" t="s">
        <v>21</v>
      </c>
      <c r="F664" s="10"/>
      <c r="G664" s="9" t="s">
        <v>21</v>
      </c>
      <c r="H664" s="10"/>
      <c r="I664" s="54"/>
      <c r="J664" s="15"/>
      <c r="K664" s="56"/>
    </row>
    <row r="665" spans="1:11" s="4" customFormat="1" x14ac:dyDescent="0.25">
      <c r="A665" s="30"/>
      <c r="B665" s="31"/>
      <c r="C665" s="12" t="s">
        <v>22</v>
      </c>
      <c r="D665" s="10">
        <f>D671+D677</f>
        <v>2031.1</v>
      </c>
      <c r="E665" s="12" t="s">
        <v>22</v>
      </c>
      <c r="F665" s="10">
        <f>F671+F677</f>
        <v>6575.3</v>
      </c>
      <c r="G665" s="12" t="s">
        <v>22</v>
      </c>
      <c r="H665" s="10">
        <f>H671+H677</f>
        <v>7353.3</v>
      </c>
      <c r="I665" s="54"/>
      <c r="J665" s="15"/>
      <c r="K665" s="56"/>
    </row>
    <row r="666" spans="1:11" s="4" customFormat="1" x14ac:dyDescent="0.25">
      <c r="A666" s="30"/>
      <c r="B666" s="31"/>
      <c r="C666" s="12" t="s">
        <v>23</v>
      </c>
      <c r="D666" s="10">
        <f t="shared" ref="D666:F668" si="42">D672+D678</f>
        <v>0</v>
      </c>
      <c r="E666" s="12" t="s">
        <v>23</v>
      </c>
      <c r="F666" s="10">
        <f t="shared" si="42"/>
        <v>0</v>
      </c>
      <c r="G666" s="12" t="s">
        <v>23</v>
      </c>
      <c r="H666" s="10">
        <f t="shared" ref="H666:H668" si="43">H672+H678</f>
        <v>0</v>
      </c>
      <c r="I666" s="54"/>
      <c r="J666" s="15"/>
      <c r="K666" s="56"/>
    </row>
    <row r="667" spans="1:11" s="4" customFormat="1" x14ac:dyDescent="0.25">
      <c r="A667" s="30"/>
      <c r="B667" s="31"/>
      <c r="C667" s="12" t="s">
        <v>24</v>
      </c>
      <c r="D667" s="10">
        <f t="shared" si="42"/>
        <v>0</v>
      </c>
      <c r="E667" s="12" t="s">
        <v>24</v>
      </c>
      <c r="F667" s="10">
        <f t="shared" si="42"/>
        <v>0</v>
      </c>
      <c r="G667" s="12" t="s">
        <v>24</v>
      </c>
      <c r="H667" s="10">
        <f t="shared" si="43"/>
        <v>0</v>
      </c>
      <c r="I667" s="54"/>
      <c r="J667" s="15"/>
      <c r="K667" s="56"/>
    </row>
    <row r="668" spans="1:11" s="4" customFormat="1" x14ac:dyDescent="0.25">
      <c r="A668" s="30"/>
      <c r="B668" s="31"/>
      <c r="C668" s="12" t="s">
        <v>25</v>
      </c>
      <c r="D668" s="10">
        <f t="shared" si="42"/>
        <v>0</v>
      </c>
      <c r="E668" s="12" t="s">
        <v>25</v>
      </c>
      <c r="F668" s="10">
        <f t="shared" si="42"/>
        <v>0</v>
      </c>
      <c r="G668" s="12" t="s">
        <v>25</v>
      </c>
      <c r="H668" s="10">
        <f t="shared" si="43"/>
        <v>0</v>
      </c>
      <c r="I668" s="54"/>
      <c r="J668" s="15"/>
      <c r="K668" s="57"/>
    </row>
    <row r="669" spans="1:11" s="4" customFormat="1" ht="15" customHeight="1" x14ac:dyDescent="0.25">
      <c r="A669" s="32" t="s">
        <v>237</v>
      </c>
      <c r="B669" s="36" t="s">
        <v>238</v>
      </c>
      <c r="C669" s="9" t="s">
        <v>28</v>
      </c>
      <c r="D669" s="17">
        <f>D671+D672+D673+D674</f>
        <v>0</v>
      </c>
      <c r="E669" s="9" t="s">
        <v>28</v>
      </c>
      <c r="F669" s="17">
        <f>F671+F672+F673+F674</f>
        <v>6575.3</v>
      </c>
      <c r="G669" s="9" t="s">
        <v>28</v>
      </c>
      <c r="H669" s="17">
        <f>H671+H672+H673+H674</f>
        <v>7353.3</v>
      </c>
      <c r="I669" s="22" t="s">
        <v>104</v>
      </c>
      <c r="J669" s="15"/>
      <c r="K669" s="27" t="s">
        <v>214</v>
      </c>
    </row>
    <row r="670" spans="1:11" s="4" customFormat="1" x14ac:dyDescent="0.25">
      <c r="A670" s="32"/>
      <c r="B670" s="37"/>
      <c r="C670" s="9" t="s">
        <v>21</v>
      </c>
      <c r="D670" s="17"/>
      <c r="E670" s="9" t="s">
        <v>21</v>
      </c>
      <c r="F670" s="17"/>
      <c r="G670" s="9" t="s">
        <v>21</v>
      </c>
      <c r="H670" s="17"/>
      <c r="I670" s="22"/>
      <c r="J670" s="15"/>
      <c r="K670" s="28"/>
    </row>
    <row r="671" spans="1:11" s="4" customFormat="1" x14ac:dyDescent="0.25">
      <c r="A671" s="32"/>
      <c r="B671" s="37"/>
      <c r="C671" s="12" t="s">
        <v>22</v>
      </c>
      <c r="D671" s="17">
        <v>0</v>
      </c>
      <c r="E671" s="12" t="s">
        <v>22</v>
      </c>
      <c r="F671" s="17">
        <v>6575.3</v>
      </c>
      <c r="G671" s="12" t="s">
        <v>22</v>
      </c>
      <c r="H671" s="17">
        <v>7353.3</v>
      </c>
      <c r="I671" s="22"/>
      <c r="J671" s="15"/>
      <c r="K671" s="28"/>
    </row>
    <row r="672" spans="1:11" s="4" customFormat="1" x14ac:dyDescent="0.25">
      <c r="A672" s="32"/>
      <c r="B672" s="37"/>
      <c r="C672" s="12" t="s">
        <v>23</v>
      </c>
      <c r="D672" s="17">
        <v>0</v>
      </c>
      <c r="E672" s="12" t="s">
        <v>23</v>
      </c>
      <c r="F672" s="17">
        <v>0</v>
      </c>
      <c r="G672" s="12" t="s">
        <v>23</v>
      </c>
      <c r="H672" s="17">
        <v>0</v>
      </c>
      <c r="I672" s="22"/>
      <c r="J672" s="15"/>
      <c r="K672" s="28"/>
    </row>
    <row r="673" spans="1:12" s="4" customFormat="1" x14ac:dyDescent="0.25">
      <c r="A673" s="32"/>
      <c r="B673" s="37"/>
      <c r="C673" s="12" t="s">
        <v>24</v>
      </c>
      <c r="D673" s="17">
        <v>0</v>
      </c>
      <c r="E673" s="12" t="s">
        <v>24</v>
      </c>
      <c r="F673" s="17">
        <v>0</v>
      </c>
      <c r="G673" s="12" t="s">
        <v>24</v>
      </c>
      <c r="H673" s="17">
        <v>0</v>
      </c>
      <c r="I673" s="22"/>
      <c r="J673" s="15"/>
      <c r="K673" s="28"/>
    </row>
    <row r="674" spans="1:12" s="4" customFormat="1" x14ac:dyDescent="0.25">
      <c r="A674" s="32"/>
      <c r="B674" s="38"/>
      <c r="C674" s="12" t="s">
        <v>25</v>
      </c>
      <c r="D674" s="17">
        <v>0</v>
      </c>
      <c r="E674" s="12" t="s">
        <v>25</v>
      </c>
      <c r="F674" s="17">
        <v>0</v>
      </c>
      <c r="G674" s="12" t="s">
        <v>25</v>
      </c>
      <c r="H674" s="17">
        <v>0</v>
      </c>
      <c r="I674" s="22"/>
      <c r="J674" s="15"/>
      <c r="K674" s="29"/>
    </row>
    <row r="675" spans="1:12" s="4" customFormat="1" ht="15" customHeight="1" x14ac:dyDescent="0.25">
      <c r="A675" s="32" t="s">
        <v>239</v>
      </c>
      <c r="B675" s="36" t="s">
        <v>240</v>
      </c>
      <c r="C675" s="9" t="s">
        <v>28</v>
      </c>
      <c r="D675" s="17">
        <f>D677+D678+D679+D680</f>
        <v>2031.1</v>
      </c>
      <c r="E675" s="9" t="s">
        <v>28</v>
      </c>
      <c r="F675" s="17">
        <f>F677+F678+F679+F680</f>
        <v>0</v>
      </c>
      <c r="G675" s="9" t="s">
        <v>28</v>
      </c>
      <c r="H675" s="17">
        <f>H677+H678+H679+H680</f>
        <v>0</v>
      </c>
      <c r="I675" s="22" t="s">
        <v>104</v>
      </c>
      <c r="J675" s="15"/>
      <c r="K675" s="27" t="s">
        <v>214</v>
      </c>
    </row>
    <row r="676" spans="1:12" s="4" customFormat="1" x14ac:dyDescent="0.25">
      <c r="A676" s="32"/>
      <c r="B676" s="37"/>
      <c r="C676" s="9" t="s">
        <v>21</v>
      </c>
      <c r="D676" s="17"/>
      <c r="E676" s="9" t="s">
        <v>21</v>
      </c>
      <c r="F676" s="17"/>
      <c r="G676" s="9" t="s">
        <v>21</v>
      </c>
      <c r="H676" s="17"/>
      <c r="I676" s="22"/>
      <c r="J676" s="15"/>
      <c r="K676" s="28"/>
    </row>
    <row r="677" spans="1:12" s="4" customFormat="1" x14ac:dyDescent="0.25">
      <c r="A677" s="32"/>
      <c r="B677" s="37"/>
      <c r="C677" s="12" t="s">
        <v>22</v>
      </c>
      <c r="D677" s="17">
        <v>2031.1</v>
      </c>
      <c r="E677" s="12" t="s">
        <v>22</v>
      </c>
      <c r="F677" s="17">
        <v>0</v>
      </c>
      <c r="G677" s="12" t="s">
        <v>22</v>
      </c>
      <c r="H677" s="17">
        <v>0</v>
      </c>
      <c r="I677" s="22"/>
      <c r="J677" s="15"/>
      <c r="K677" s="28"/>
    </row>
    <row r="678" spans="1:12" s="4" customFormat="1" x14ac:dyDescent="0.25">
      <c r="A678" s="32"/>
      <c r="B678" s="37"/>
      <c r="C678" s="12" t="s">
        <v>23</v>
      </c>
      <c r="D678" s="17">
        <v>0</v>
      </c>
      <c r="E678" s="12" t="s">
        <v>23</v>
      </c>
      <c r="F678" s="17">
        <v>0</v>
      </c>
      <c r="G678" s="12" t="s">
        <v>23</v>
      </c>
      <c r="H678" s="17">
        <v>0</v>
      </c>
      <c r="I678" s="22"/>
      <c r="J678" s="15"/>
      <c r="K678" s="28"/>
    </row>
    <row r="679" spans="1:12" s="4" customFormat="1" x14ac:dyDescent="0.25">
      <c r="A679" s="32"/>
      <c r="B679" s="37"/>
      <c r="C679" s="12" t="s">
        <v>24</v>
      </c>
      <c r="D679" s="17">
        <v>0</v>
      </c>
      <c r="E679" s="12" t="s">
        <v>24</v>
      </c>
      <c r="F679" s="17">
        <v>0</v>
      </c>
      <c r="G679" s="12" t="s">
        <v>24</v>
      </c>
      <c r="H679" s="17">
        <v>0</v>
      </c>
      <c r="I679" s="22"/>
      <c r="J679" s="15"/>
      <c r="K679" s="28"/>
    </row>
    <row r="680" spans="1:12" s="4" customFormat="1" x14ac:dyDescent="0.25">
      <c r="A680" s="32"/>
      <c r="B680" s="38"/>
      <c r="C680" s="12" t="s">
        <v>25</v>
      </c>
      <c r="D680" s="17">
        <v>0</v>
      </c>
      <c r="E680" s="12" t="s">
        <v>25</v>
      </c>
      <c r="F680" s="17">
        <v>0</v>
      </c>
      <c r="G680" s="12" t="s">
        <v>25</v>
      </c>
      <c r="H680" s="17">
        <v>0</v>
      </c>
      <c r="I680" s="22"/>
      <c r="J680" s="15"/>
      <c r="K680" s="29"/>
    </row>
    <row r="681" spans="1:12" s="4" customFormat="1" x14ac:dyDescent="0.25">
      <c r="A681" s="48" t="s">
        <v>241</v>
      </c>
      <c r="B681" s="51" t="s">
        <v>242</v>
      </c>
      <c r="C681" s="9" t="s">
        <v>28</v>
      </c>
      <c r="D681" s="10">
        <f>D683+D684+D685+D686</f>
        <v>150236.57369999995</v>
      </c>
      <c r="E681" s="9" t="s">
        <v>28</v>
      </c>
      <c r="F681" s="10">
        <f>F683+F684+F685+F686</f>
        <v>171744.82</v>
      </c>
      <c r="G681" s="9" t="s">
        <v>28</v>
      </c>
      <c r="H681" s="10">
        <f>H683+H684+H685+H686</f>
        <v>133070.70000000001</v>
      </c>
      <c r="I681" s="22" t="s">
        <v>104</v>
      </c>
      <c r="J681" s="27" t="s">
        <v>243</v>
      </c>
      <c r="K681" s="22" t="s">
        <v>214</v>
      </c>
      <c r="L681" s="18"/>
    </row>
    <row r="682" spans="1:12" s="4" customFormat="1" x14ac:dyDescent="0.25">
      <c r="A682" s="49"/>
      <c r="B682" s="52"/>
      <c r="C682" s="9" t="s">
        <v>21</v>
      </c>
      <c r="D682" s="10"/>
      <c r="E682" s="9" t="s">
        <v>21</v>
      </c>
      <c r="F682" s="10"/>
      <c r="G682" s="9" t="s">
        <v>21</v>
      </c>
      <c r="H682" s="10"/>
      <c r="I682" s="22"/>
      <c r="J682" s="28"/>
      <c r="K682" s="22"/>
    </row>
    <row r="683" spans="1:12" s="4" customFormat="1" x14ac:dyDescent="0.25">
      <c r="A683" s="49"/>
      <c r="B683" s="52"/>
      <c r="C683" s="12" t="s">
        <v>22</v>
      </c>
      <c r="D683" s="10">
        <f>D689+D1115+D1151+D1187+D1205+D1343+D1361+D1379+D1397+D1415+D1433+D1451+D1469+D1481+D1493+D1505+D1091+D1103</f>
        <v>0</v>
      </c>
      <c r="E683" s="12" t="s">
        <v>22</v>
      </c>
      <c r="F683" s="10">
        <f>F689+F1115+F1151+F1187+F1205+F1343+F1361+F1379+F1397+F1415+F1433+F1451+F1469+F1481+F1493+F1505+F1091+F1103</f>
        <v>0</v>
      </c>
      <c r="G683" s="12" t="s">
        <v>22</v>
      </c>
      <c r="H683" s="10">
        <f>H689+H1115+H1151+H1187+H1205+H1343+H1361+H1379+H1397+H1415+H1433+H1451+H1469+H1481+H1493+H1505+H1091+H1103</f>
        <v>0</v>
      </c>
      <c r="I683" s="22"/>
      <c r="J683" s="28"/>
      <c r="K683" s="22"/>
    </row>
    <row r="684" spans="1:12" s="4" customFormat="1" x14ac:dyDescent="0.25">
      <c r="A684" s="49"/>
      <c r="B684" s="52"/>
      <c r="C684" s="12" t="s">
        <v>23</v>
      </c>
      <c r="D684" s="10">
        <f t="shared" ref="D684:F686" si="44">D690+D1116+D1152+D1188+D1206+D1344+D1362+D1380+D1398+D1416+D1434+D1452+D1470+D1482+D1494+D1506+D1092+D1104</f>
        <v>20292.77</v>
      </c>
      <c r="E684" s="12" t="s">
        <v>23</v>
      </c>
      <c r="F684" s="10">
        <f t="shared" si="44"/>
        <v>0</v>
      </c>
      <c r="G684" s="12" t="s">
        <v>23</v>
      </c>
      <c r="H684" s="10">
        <f t="shared" ref="H684:H686" si="45">H690+H1116+H1152+H1188+H1206+H1344+H1362+H1380+H1398+H1416+H1434+H1452+H1470+H1482+H1494+H1506+H1092+H1104</f>
        <v>0</v>
      </c>
      <c r="I684" s="22"/>
      <c r="J684" s="28"/>
      <c r="K684" s="22"/>
    </row>
    <row r="685" spans="1:12" s="4" customFormat="1" x14ac:dyDescent="0.25">
      <c r="A685" s="49"/>
      <c r="B685" s="52"/>
      <c r="C685" s="12" t="s">
        <v>24</v>
      </c>
      <c r="D685" s="10">
        <f t="shared" si="44"/>
        <v>129943.80369999996</v>
      </c>
      <c r="E685" s="12" t="s">
        <v>24</v>
      </c>
      <c r="F685" s="10">
        <f t="shared" si="44"/>
        <v>171744.82</v>
      </c>
      <c r="G685" s="12" t="s">
        <v>24</v>
      </c>
      <c r="H685" s="10">
        <f t="shared" si="45"/>
        <v>133070.70000000001</v>
      </c>
      <c r="I685" s="22"/>
      <c r="J685" s="28"/>
      <c r="K685" s="22"/>
    </row>
    <row r="686" spans="1:12" s="4" customFormat="1" x14ac:dyDescent="0.25">
      <c r="A686" s="50"/>
      <c r="B686" s="53"/>
      <c r="C686" s="12" t="s">
        <v>25</v>
      </c>
      <c r="D686" s="10">
        <f t="shared" si="44"/>
        <v>0</v>
      </c>
      <c r="E686" s="12" t="s">
        <v>25</v>
      </c>
      <c r="F686" s="10">
        <f t="shared" si="44"/>
        <v>0</v>
      </c>
      <c r="G686" s="12" t="s">
        <v>25</v>
      </c>
      <c r="H686" s="10">
        <f t="shared" si="45"/>
        <v>0</v>
      </c>
      <c r="I686" s="22"/>
      <c r="J686" s="28"/>
      <c r="K686" s="22"/>
    </row>
    <row r="687" spans="1:12" s="4" customFormat="1" x14ac:dyDescent="0.25">
      <c r="A687" s="39" t="s">
        <v>244</v>
      </c>
      <c r="B687" s="42" t="s">
        <v>245</v>
      </c>
      <c r="C687" s="9" t="s">
        <v>28</v>
      </c>
      <c r="D687" s="17">
        <f>D689+D690+D691+D692</f>
        <v>115016.04970999998</v>
      </c>
      <c r="E687" s="9" t="s">
        <v>28</v>
      </c>
      <c r="F687" s="17">
        <f>F689+F690+F691+F692</f>
        <v>91258.76</v>
      </c>
      <c r="G687" s="9" t="s">
        <v>28</v>
      </c>
      <c r="H687" s="17">
        <f>H689+H690+H691+H692</f>
        <v>133070.70000000001</v>
      </c>
      <c r="I687" s="22" t="s">
        <v>104</v>
      </c>
      <c r="J687" s="28"/>
      <c r="K687" s="27" t="s">
        <v>214</v>
      </c>
    </row>
    <row r="688" spans="1:12" s="4" customFormat="1" x14ac:dyDescent="0.25">
      <c r="A688" s="40"/>
      <c r="B688" s="43"/>
      <c r="C688" s="9" t="s">
        <v>21</v>
      </c>
      <c r="D688" s="17"/>
      <c r="E688" s="9" t="s">
        <v>21</v>
      </c>
      <c r="F688" s="17"/>
      <c r="G688" s="9" t="s">
        <v>21</v>
      </c>
      <c r="H688" s="17"/>
      <c r="I688" s="22"/>
      <c r="J688" s="28"/>
      <c r="K688" s="28"/>
    </row>
    <row r="689" spans="1:11" s="4" customFormat="1" x14ac:dyDescent="0.25">
      <c r="A689" s="40"/>
      <c r="B689" s="43"/>
      <c r="C689" s="12" t="s">
        <v>22</v>
      </c>
      <c r="D689" s="17">
        <f>D695+D701+D707+D713+D719+D725+D731+D737+D743+D749+D755+D761+D767+D773+D779+D785+D791+D797+D803+D809+D815+D821+D827+D833+D839+D845+D851+D857+D863+D869+D875+D881+D887+D893+D899+D905+D911+D917+D923+D929+D935+D941+D947+D953+D959+D965+D971+D977+D983+D989+D995+D1001+D1007+D1013+D1019+D1025+D1031+D1037+D1043+D1049+D1055+D1061+D1067+D1073+D1079+D1085</f>
        <v>0</v>
      </c>
      <c r="E689" s="12" t="s">
        <v>22</v>
      </c>
      <c r="F689" s="17">
        <f>F695+F701+F707+F713+F719+F725+F731+F737+F743+F749+F755+F761+F767+F773+F779+F785+F791+F797+F803+F809+F815+F821+F827+F833+F839+F845+F851+F857+F863+F869+F875+F881+F887+F893+F899+F905+F911+F917+F923+F929+F935+F941+F947+F953+F959+F965+F971+F977+F983+F989+F995+F1001+F1007+F1013+F1019+F1025+F1031+F1037+F1043+F1049+F1055+F1061+F1067+F1073+F1079+F1085</f>
        <v>0</v>
      </c>
      <c r="G689" s="12" t="s">
        <v>22</v>
      </c>
      <c r="H689" s="17">
        <f>H695+H701+H707+H713+H719+H725+H731+H737+H743+H749+H755+H761+H767+H773+H779+H785+H791+H797+H803+H809+H815+H821+H827+H833+H839+H845+H851+H857+H863+H869+H875+H881+H887+H893+H899+H905+H911+H917+H923+H929+H935+H941+H947+H953+H959+H965+H971+H977+H983+H989+H995+H1001+H1007+H1013+H1019+H1025+H1031+H1037+H1043+H1049+H1055+H1061+H1067+H1073+H1079+H1085</f>
        <v>0</v>
      </c>
      <c r="I689" s="22"/>
      <c r="J689" s="28"/>
      <c r="K689" s="28"/>
    </row>
    <row r="690" spans="1:11" s="4" customFormat="1" x14ac:dyDescent="0.25">
      <c r="A690" s="40"/>
      <c r="B690" s="43"/>
      <c r="C690" s="12" t="s">
        <v>23</v>
      </c>
      <c r="D690" s="17">
        <f t="shared" ref="D690:F692" si="46">D696+D702+D708+D714+D720+D726+D732+D738+D744+D750+D756+D762+D768+D774+D780+D786+D792+D798+D804+D810+D816+D822+D828+D834+D840+D846+D852+D858+D864+D870+D876+D882+D888+D894+D900+D906+D912+D918+D924+D930+D936+D942+D948+D954+D960+D966+D972+D978+D984+D990+D996+D1002+D1008+D1014+D1020+D1026+D1032+D1038+D1044+D1050+D1056+D1062+D1068+D1074+D1080+D1086</f>
        <v>0</v>
      </c>
      <c r="E690" s="12" t="s">
        <v>23</v>
      </c>
      <c r="F690" s="17">
        <f t="shared" si="46"/>
        <v>0</v>
      </c>
      <c r="G690" s="12" t="s">
        <v>23</v>
      </c>
      <c r="H690" s="17">
        <f t="shared" ref="H690:H692" si="47">H696+H702+H708+H714+H720+H726+H732+H738+H744+H750+H756+H762+H768+H774+H780+H786+H792+H798+H804+H810+H816+H822+H828+H834+H840+H846+H852+H858+H864+H870+H876+H882+H888+H894+H900+H906+H912+H918+H924+H930+H936+H942+H948+H954+H960+H966+H972+H978+H984+H990+H996+H1002+H1008+H1014+H1020+H1026+H1032+H1038+H1044+H1050+H1056+H1062+H1068+H1074+H1080+H1086</f>
        <v>0</v>
      </c>
      <c r="I690" s="22"/>
      <c r="J690" s="28"/>
      <c r="K690" s="28"/>
    </row>
    <row r="691" spans="1:11" s="4" customFormat="1" x14ac:dyDescent="0.25">
      <c r="A691" s="40"/>
      <c r="B691" s="43"/>
      <c r="C691" s="12" t="s">
        <v>24</v>
      </c>
      <c r="D691" s="17">
        <f t="shared" si="46"/>
        <v>115016.04970999998</v>
      </c>
      <c r="E691" s="12" t="s">
        <v>24</v>
      </c>
      <c r="F691" s="17">
        <f t="shared" si="46"/>
        <v>91258.76</v>
      </c>
      <c r="G691" s="12" t="s">
        <v>24</v>
      </c>
      <c r="H691" s="17">
        <f t="shared" si="47"/>
        <v>133070.70000000001</v>
      </c>
      <c r="I691" s="22"/>
      <c r="J691" s="28"/>
      <c r="K691" s="28"/>
    </row>
    <row r="692" spans="1:11" s="4" customFormat="1" x14ac:dyDescent="0.25">
      <c r="A692" s="41"/>
      <c r="B692" s="44"/>
      <c r="C692" s="12" t="s">
        <v>25</v>
      </c>
      <c r="D692" s="17">
        <f t="shared" si="46"/>
        <v>0</v>
      </c>
      <c r="E692" s="12" t="s">
        <v>25</v>
      </c>
      <c r="F692" s="17">
        <f t="shared" si="46"/>
        <v>0</v>
      </c>
      <c r="G692" s="12" t="s">
        <v>25</v>
      </c>
      <c r="H692" s="17">
        <f t="shared" si="47"/>
        <v>0</v>
      </c>
      <c r="I692" s="22"/>
      <c r="J692" s="28"/>
      <c r="K692" s="29"/>
    </row>
    <row r="693" spans="1:11" s="4" customFormat="1" x14ac:dyDescent="0.25">
      <c r="A693" s="39" t="s">
        <v>246</v>
      </c>
      <c r="B693" s="42" t="s">
        <v>247</v>
      </c>
      <c r="C693" s="9" t="s">
        <v>28</v>
      </c>
      <c r="D693" s="17">
        <f>D695+D696+D697+D698</f>
        <v>13621.06963</v>
      </c>
      <c r="E693" s="9" t="s">
        <v>28</v>
      </c>
      <c r="F693" s="17">
        <f>F695+F696+F697+F698</f>
        <v>0</v>
      </c>
      <c r="G693" s="9" t="s">
        <v>28</v>
      </c>
      <c r="H693" s="17">
        <f>H695+H696+H697+H698</f>
        <v>0</v>
      </c>
      <c r="I693" s="22" t="s">
        <v>248</v>
      </c>
      <c r="J693" s="28"/>
      <c r="K693" s="27" t="s">
        <v>214</v>
      </c>
    </row>
    <row r="694" spans="1:11" s="4" customFormat="1" x14ac:dyDescent="0.25">
      <c r="A694" s="40"/>
      <c r="B694" s="43"/>
      <c r="C694" s="9" t="s">
        <v>21</v>
      </c>
      <c r="D694" s="17"/>
      <c r="E694" s="9" t="s">
        <v>21</v>
      </c>
      <c r="F694" s="17"/>
      <c r="G694" s="9" t="s">
        <v>21</v>
      </c>
      <c r="H694" s="17"/>
      <c r="I694" s="22"/>
      <c r="J694" s="28"/>
      <c r="K694" s="28"/>
    </row>
    <row r="695" spans="1:11" s="4" customFormat="1" x14ac:dyDescent="0.25">
      <c r="A695" s="40"/>
      <c r="B695" s="43"/>
      <c r="C695" s="12" t="s">
        <v>22</v>
      </c>
      <c r="D695" s="17">
        <v>0</v>
      </c>
      <c r="E695" s="12" t="s">
        <v>22</v>
      </c>
      <c r="F695" s="17">
        <v>0</v>
      </c>
      <c r="G695" s="12" t="s">
        <v>22</v>
      </c>
      <c r="H695" s="17">
        <v>0</v>
      </c>
      <c r="I695" s="22"/>
      <c r="J695" s="28"/>
      <c r="K695" s="28"/>
    </row>
    <row r="696" spans="1:11" s="4" customFormat="1" x14ac:dyDescent="0.25">
      <c r="A696" s="40"/>
      <c r="B696" s="43"/>
      <c r="C696" s="12" t="s">
        <v>23</v>
      </c>
      <c r="D696" s="17">
        <v>0</v>
      </c>
      <c r="E696" s="12" t="s">
        <v>23</v>
      </c>
      <c r="F696" s="17">
        <v>0</v>
      </c>
      <c r="G696" s="12" t="s">
        <v>23</v>
      </c>
      <c r="H696" s="17">
        <v>0</v>
      </c>
      <c r="I696" s="22"/>
      <c r="J696" s="28"/>
      <c r="K696" s="28"/>
    </row>
    <row r="697" spans="1:11" s="4" customFormat="1" x14ac:dyDescent="0.25">
      <c r="A697" s="40"/>
      <c r="B697" s="43"/>
      <c r="C697" s="12" t="s">
        <v>24</v>
      </c>
      <c r="D697" s="17">
        <f>13621069.63/1000</f>
        <v>13621.06963</v>
      </c>
      <c r="E697" s="12" t="s">
        <v>24</v>
      </c>
      <c r="F697" s="17">
        <v>0</v>
      </c>
      <c r="G697" s="12" t="s">
        <v>24</v>
      </c>
      <c r="H697" s="17">
        <v>0</v>
      </c>
      <c r="I697" s="22"/>
      <c r="J697" s="28"/>
      <c r="K697" s="28"/>
    </row>
    <row r="698" spans="1:11" s="4" customFormat="1" x14ac:dyDescent="0.25">
      <c r="A698" s="41"/>
      <c r="B698" s="44"/>
      <c r="C698" s="12" t="s">
        <v>25</v>
      </c>
      <c r="D698" s="17">
        <v>0</v>
      </c>
      <c r="E698" s="12" t="s">
        <v>25</v>
      </c>
      <c r="F698" s="17">
        <v>0</v>
      </c>
      <c r="G698" s="12" t="s">
        <v>25</v>
      </c>
      <c r="H698" s="17">
        <v>0</v>
      </c>
      <c r="I698" s="22"/>
      <c r="J698" s="28"/>
      <c r="K698" s="29"/>
    </row>
    <row r="699" spans="1:11" s="4" customFormat="1" x14ac:dyDescent="0.25">
      <c r="A699" s="39" t="s">
        <v>249</v>
      </c>
      <c r="B699" s="42" t="s">
        <v>250</v>
      </c>
      <c r="C699" s="9" t="s">
        <v>28</v>
      </c>
      <c r="D699" s="17">
        <f>D701+D702+D703+D704</f>
        <v>588.55060000000003</v>
      </c>
      <c r="E699" s="9" t="s">
        <v>28</v>
      </c>
      <c r="F699" s="17">
        <f>F701+F702+F703+F704</f>
        <v>0</v>
      </c>
      <c r="G699" s="9" t="s">
        <v>28</v>
      </c>
      <c r="H699" s="17">
        <f>H701+H702+H703+H704</f>
        <v>0</v>
      </c>
      <c r="I699" s="22" t="s">
        <v>248</v>
      </c>
      <c r="J699" s="28"/>
      <c r="K699" s="27" t="s">
        <v>214</v>
      </c>
    </row>
    <row r="700" spans="1:11" s="4" customFormat="1" x14ac:dyDescent="0.25">
      <c r="A700" s="40"/>
      <c r="B700" s="43"/>
      <c r="C700" s="9" t="s">
        <v>21</v>
      </c>
      <c r="D700" s="17"/>
      <c r="E700" s="9" t="s">
        <v>21</v>
      </c>
      <c r="F700" s="17"/>
      <c r="G700" s="9" t="s">
        <v>21</v>
      </c>
      <c r="H700" s="17"/>
      <c r="I700" s="22"/>
      <c r="J700" s="28"/>
      <c r="K700" s="28"/>
    </row>
    <row r="701" spans="1:11" s="4" customFormat="1" x14ac:dyDescent="0.25">
      <c r="A701" s="40"/>
      <c r="B701" s="43"/>
      <c r="C701" s="12" t="s">
        <v>22</v>
      </c>
      <c r="D701" s="17">
        <v>0</v>
      </c>
      <c r="E701" s="12" t="s">
        <v>22</v>
      </c>
      <c r="F701" s="17">
        <v>0</v>
      </c>
      <c r="G701" s="12" t="s">
        <v>22</v>
      </c>
      <c r="H701" s="17">
        <v>0</v>
      </c>
      <c r="I701" s="22"/>
      <c r="J701" s="28"/>
      <c r="K701" s="28"/>
    </row>
    <row r="702" spans="1:11" s="4" customFormat="1" x14ac:dyDescent="0.25">
      <c r="A702" s="40"/>
      <c r="B702" s="43"/>
      <c r="C702" s="12" t="s">
        <v>23</v>
      </c>
      <c r="D702" s="17">
        <v>0</v>
      </c>
      <c r="E702" s="12" t="s">
        <v>23</v>
      </c>
      <c r="F702" s="17">
        <v>0</v>
      </c>
      <c r="G702" s="12" t="s">
        <v>23</v>
      </c>
      <c r="H702" s="17">
        <v>0</v>
      </c>
      <c r="I702" s="22"/>
      <c r="J702" s="28"/>
      <c r="K702" s="28"/>
    </row>
    <row r="703" spans="1:11" s="4" customFormat="1" x14ac:dyDescent="0.25">
      <c r="A703" s="40"/>
      <c r="B703" s="43"/>
      <c r="C703" s="12" t="s">
        <v>24</v>
      </c>
      <c r="D703" s="17">
        <f>588550.6/1000</f>
        <v>588.55060000000003</v>
      </c>
      <c r="E703" s="12" t="s">
        <v>24</v>
      </c>
      <c r="F703" s="17">
        <v>0</v>
      </c>
      <c r="G703" s="12" t="s">
        <v>24</v>
      </c>
      <c r="H703" s="17">
        <v>0</v>
      </c>
      <c r="I703" s="22"/>
      <c r="J703" s="28"/>
      <c r="K703" s="28"/>
    </row>
    <row r="704" spans="1:11" s="4" customFormat="1" x14ac:dyDescent="0.25">
      <c r="A704" s="41"/>
      <c r="B704" s="44"/>
      <c r="C704" s="12" t="s">
        <v>25</v>
      </c>
      <c r="D704" s="17">
        <v>0</v>
      </c>
      <c r="E704" s="12" t="s">
        <v>25</v>
      </c>
      <c r="F704" s="17">
        <v>0</v>
      </c>
      <c r="G704" s="12" t="s">
        <v>25</v>
      </c>
      <c r="H704" s="17">
        <v>0</v>
      </c>
      <c r="I704" s="22"/>
      <c r="J704" s="28"/>
      <c r="K704" s="29"/>
    </row>
    <row r="705" spans="1:11" s="4" customFormat="1" x14ac:dyDescent="0.25">
      <c r="A705" s="39" t="s">
        <v>251</v>
      </c>
      <c r="B705" s="42" t="s">
        <v>252</v>
      </c>
      <c r="C705" s="9" t="s">
        <v>28</v>
      </c>
      <c r="D705" s="17">
        <f>D707+D708+D709+D710</f>
        <v>91.931060000000002</v>
      </c>
      <c r="E705" s="9" t="s">
        <v>28</v>
      </c>
      <c r="F705" s="17">
        <f>F707+F708+F709+F710</f>
        <v>0</v>
      </c>
      <c r="G705" s="9" t="s">
        <v>28</v>
      </c>
      <c r="H705" s="17">
        <f>H707+H708+H709+H710</f>
        <v>0</v>
      </c>
      <c r="I705" s="22" t="s">
        <v>248</v>
      </c>
      <c r="J705" s="28"/>
      <c r="K705" s="27" t="s">
        <v>214</v>
      </c>
    </row>
    <row r="706" spans="1:11" s="4" customFormat="1" x14ac:dyDescent="0.25">
      <c r="A706" s="40"/>
      <c r="B706" s="43"/>
      <c r="C706" s="9" t="s">
        <v>21</v>
      </c>
      <c r="D706" s="17"/>
      <c r="E706" s="9" t="s">
        <v>21</v>
      </c>
      <c r="F706" s="17"/>
      <c r="G706" s="9" t="s">
        <v>21</v>
      </c>
      <c r="H706" s="17"/>
      <c r="I706" s="22"/>
      <c r="J706" s="28"/>
      <c r="K706" s="28"/>
    </row>
    <row r="707" spans="1:11" s="4" customFormat="1" x14ac:dyDescent="0.25">
      <c r="A707" s="40"/>
      <c r="B707" s="43"/>
      <c r="C707" s="12" t="s">
        <v>22</v>
      </c>
      <c r="D707" s="17">
        <v>0</v>
      </c>
      <c r="E707" s="12" t="s">
        <v>22</v>
      </c>
      <c r="F707" s="17">
        <v>0</v>
      </c>
      <c r="G707" s="12" t="s">
        <v>22</v>
      </c>
      <c r="H707" s="17">
        <v>0</v>
      </c>
      <c r="I707" s="22"/>
      <c r="J707" s="28"/>
      <c r="K707" s="28"/>
    </row>
    <row r="708" spans="1:11" s="4" customFormat="1" x14ac:dyDescent="0.25">
      <c r="A708" s="40"/>
      <c r="B708" s="43"/>
      <c r="C708" s="12" t="s">
        <v>23</v>
      </c>
      <c r="D708" s="17">
        <v>0</v>
      </c>
      <c r="E708" s="12" t="s">
        <v>23</v>
      </c>
      <c r="F708" s="17">
        <v>0</v>
      </c>
      <c r="G708" s="12" t="s">
        <v>23</v>
      </c>
      <c r="H708" s="17">
        <v>0</v>
      </c>
      <c r="I708" s="22"/>
      <c r="J708" s="28"/>
      <c r="K708" s="28"/>
    </row>
    <row r="709" spans="1:11" s="4" customFormat="1" x14ac:dyDescent="0.25">
      <c r="A709" s="40"/>
      <c r="B709" s="43"/>
      <c r="C709" s="12" t="s">
        <v>24</v>
      </c>
      <c r="D709" s="17">
        <f>91931.06/1000</f>
        <v>91.931060000000002</v>
      </c>
      <c r="E709" s="12" t="s">
        <v>24</v>
      </c>
      <c r="F709" s="17">
        <v>0</v>
      </c>
      <c r="G709" s="12" t="s">
        <v>24</v>
      </c>
      <c r="H709" s="17">
        <v>0</v>
      </c>
      <c r="I709" s="22"/>
      <c r="J709" s="28"/>
      <c r="K709" s="28"/>
    </row>
    <row r="710" spans="1:11" s="4" customFormat="1" x14ac:dyDescent="0.25">
      <c r="A710" s="41"/>
      <c r="B710" s="44"/>
      <c r="C710" s="12" t="s">
        <v>25</v>
      </c>
      <c r="D710" s="17">
        <v>0</v>
      </c>
      <c r="E710" s="12" t="s">
        <v>25</v>
      </c>
      <c r="F710" s="17">
        <v>0</v>
      </c>
      <c r="G710" s="12" t="s">
        <v>25</v>
      </c>
      <c r="H710" s="17">
        <v>0</v>
      </c>
      <c r="I710" s="22"/>
      <c r="J710" s="28"/>
      <c r="K710" s="29"/>
    </row>
    <row r="711" spans="1:11" s="4" customFormat="1" x14ac:dyDescent="0.25">
      <c r="A711" s="39" t="s">
        <v>253</v>
      </c>
      <c r="B711" s="42" t="s">
        <v>254</v>
      </c>
      <c r="C711" s="9" t="s">
        <v>28</v>
      </c>
      <c r="D711" s="17">
        <f>D713+D714+D715+D716</f>
        <v>147.61717999999999</v>
      </c>
      <c r="E711" s="9" t="s">
        <v>28</v>
      </c>
      <c r="F711" s="17">
        <f>F713+F714+F715+F716</f>
        <v>0</v>
      </c>
      <c r="G711" s="9" t="s">
        <v>28</v>
      </c>
      <c r="H711" s="17">
        <f>H713+H714+H715+H716</f>
        <v>0</v>
      </c>
      <c r="I711" s="22" t="s">
        <v>248</v>
      </c>
      <c r="J711" s="28"/>
      <c r="K711" s="27" t="s">
        <v>214</v>
      </c>
    </row>
    <row r="712" spans="1:11" s="4" customFormat="1" x14ac:dyDescent="0.25">
      <c r="A712" s="40"/>
      <c r="B712" s="43"/>
      <c r="C712" s="9" t="s">
        <v>21</v>
      </c>
      <c r="D712" s="17"/>
      <c r="E712" s="9" t="s">
        <v>21</v>
      </c>
      <c r="F712" s="17"/>
      <c r="G712" s="9" t="s">
        <v>21</v>
      </c>
      <c r="H712" s="17"/>
      <c r="I712" s="22"/>
      <c r="J712" s="28"/>
      <c r="K712" s="28"/>
    </row>
    <row r="713" spans="1:11" s="4" customFormat="1" x14ac:dyDescent="0.25">
      <c r="A713" s="40"/>
      <c r="B713" s="43"/>
      <c r="C713" s="12" t="s">
        <v>22</v>
      </c>
      <c r="D713" s="17">
        <v>0</v>
      </c>
      <c r="E713" s="12" t="s">
        <v>22</v>
      </c>
      <c r="F713" s="17">
        <v>0</v>
      </c>
      <c r="G713" s="12" t="s">
        <v>22</v>
      </c>
      <c r="H713" s="17">
        <v>0</v>
      </c>
      <c r="I713" s="22"/>
      <c r="J713" s="28"/>
      <c r="K713" s="28"/>
    </row>
    <row r="714" spans="1:11" s="4" customFormat="1" x14ac:dyDescent="0.25">
      <c r="A714" s="40"/>
      <c r="B714" s="43"/>
      <c r="C714" s="12" t="s">
        <v>23</v>
      </c>
      <c r="D714" s="17">
        <v>0</v>
      </c>
      <c r="E714" s="12" t="s">
        <v>23</v>
      </c>
      <c r="F714" s="17">
        <v>0</v>
      </c>
      <c r="G714" s="12" t="s">
        <v>23</v>
      </c>
      <c r="H714" s="17">
        <v>0</v>
      </c>
      <c r="I714" s="22"/>
      <c r="J714" s="28"/>
      <c r="K714" s="28"/>
    </row>
    <row r="715" spans="1:11" s="4" customFormat="1" x14ac:dyDescent="0.25">
      <c r="A715" s="40"/>
      <c r="B715" s="43"/>
      <c r="C715" s="12" t="s">
        <v>24</v>
      </c>
      <c r="D715" s="17">
        <f>147617.18/1000</f>
        <v>147.61717999999999</v>
      </c>
      <c r="E715" s="12" t="s">
        <v>24</v>
      </c>
      <c r="F715" s="17">
        <v>0</v>
      </c>
      <c r="G715" s="12" t="s">
        <v>24</v>
      </c>
      <c r="H715" s="17">
        <v>0</v>
      </c>
      <c r="I715" s="22"/>
      <c r="J715" s="28"/>
      <c r="K715" s="28"/>
    </row>
    <row r="716" spans="1:11" s="4" customFormat="1" x14ac:dyDescent="0.25">
      <c r="A716" s="41"/>
      <c r="B716" s="44"/>
      <c r="C716" s="12" t="s">
        <v>25</v>
      </c>
      <c r="D716" s="17">
        <v>0</v>
      </c>
      <c r="E716" s="12" t="s">
        <v>25</v>
      </c>
      <c r="F716" s="17">
        <v>0</v>
      </c>
      <c r="G716" s="12" t="s">
        <v>25</v>
      </c>
      <c r="H716" s="17">
        <v>0</v>
      </c>
      <c r="I716" s="22"/>
      <c r="J716" s="28"/>
      <c r="K716" s="29"/>
    </row>
    <row r="717" spans="1:11" s="4" customFormat="1" x14ac:dyDescent="0.25">
      <c r="A717" s="39" t="s">
        <v>255</v>
      </c>
      <c r="B717" s="42" t="s">
        <v>256</v>
      </c>
      <c r="C717" s="9" t="s">
        <v>28</v>
      </c>
      <c r="D717" s="17">
        <f>D719+D720+D721+D722</f>
        <v>579.96114999999998</v>
      </c>
      <c r="E717" s="9" t="s">
        <v>28</v>
      </c>
      <c r="F717" s="17">
        <f>F719+F720+F721+F722</f>
        <v>0</v>
      </c>
      <c r="G717" s="9" t="s">
        <v>28</v>
      </c>
      <c r="H717" s="17">
        <f>H719+H720+H721+H722</f>
        <v>0</v>
      </c>
      <c r="I717" s="22" t="s">
        <v>248</v>
      </c>
      <c r="J717" s="28"/>
      <c r="K717" s="27" t="s">
        <v>214</v>
      </c>
    </row>
    <row r="718" spans="1:11" s="4" customFormat="1" x14ac:dyDescent="0.25">
      <c r="A718" s="40"/>
      <c r="B718" s="43"/>
      <c r="C718" s="9" t="s">
        <v>21</v>
      </c>
      <c r="D718" s="17"/>
      <c r="E718" s="9" t="s">
        <v>21</v>
      </c>
      <c r="F718" s="17"/>
      <c r="G718" s="9" t="s">
        <v>21</v>
      </c>
      <c r="H718" s="17"/>
      <c r="I718" s="22"/>
      <c r="J718" s="28"/>
      <c r="K718" s="28"/>
    </row>
    <row r="719" spans="1:11" s="4" customFormat="1" x14ac:dyDescent="0.25">
      <c r="A719" s="40"/>
      <c r="B719" s="43"/>
      <c r="C719" s="12" t="s">
        <v>22</v>
      </c>
      <c r="D719" s="17">
        <v>0</v>
      </c>
      <c r="E719" s="12" t="s">
        <v>22</v>
      </c>
      <c r="F719" s="17">
        <v>0</v>
      </c>
      <c r="G719" s="12" t="s">
        <v>22</v>
      </c>
      <c r="H719" s="17">
        <v>0</v>
      </c>
      <c r="I719" s="22"/>
      <c r="J719" s="28"/>
      <c r="K719" s="28"/>
    </row>
    <row r="720" spans="1:11" s="4" customFormat="1" x14ac:dyDescent="0.25">
      <c r="A720" s="40"/>
      <c r="B720" s="43"/>
      <c r="C720" s="12" t="s">
        <v>23</v>
      </c>
      <c r="D720" s="17">
        <v>0</v>
      </c>
      <c r="E720" s="12" t="s">
        <v>23</v>
      </c>
      <c r="F720" s="17">
        <v>0</v>
      </c>
      <c r="G720" s="12" t="s">
        <v>23</v>
      </c>
      <c r="H720" s="17">
        <v>0</v>
      </c>
      <c r="I720" s="22"/>
      <c r="J720" s="28"/>
      <c r="K720" s="28"/>
    </row>
    <row r="721" spans="1:11" s="4" customFormat="1" x14ac:dyDescent="0.25">
      <c r="A721" s="40"/>
      <c r="B721" s="43"/>
      <c r="C721" s="12" t="s">
        <v>24</v>
      </c>
      <c r="D721" s="17">
        <f>579961.15/1000</f>
        <v>579.96114999999998</v>
      </c>
      <c r="E721" s="12" t="s">
        <v>24</v>
      </c>
      <c r="F721" s="17">
        <v>0</v>
      </c>
      <c r="G721" s="12" t="s">
        <v>24</v>
      </c>
      <c r="H721" s="17">
        <v>0</v>
      </c>
      <c r="I721" s="22"/>
      <c r="J721" s="28"/>
      <c r="K721" s="28"/>
    </row>
    <row r="722" spans="1:11" s="4" customFormat="1" x14ac:dyDescent="0.25">
      <c r="A722" s="41"/>
      <c r="B722" s="44"/>
      <c r="C722" s="12" t="s">
        <v>25</v>
      </c>
      <c r="D722" s="17">
        <v>0</v>
      </c>
      <c r="E722" s="12" t="s">
        <v>25</v>
      </c>
      <c r="F722" s="17">
        <v>0</v>
      </c>
      <c r="G722" s="12" t="s">
        <v>25</v>
      </c>
      <c r="H722" s="17">
        <v>0</v>
      </c>
      <c r="I722" s="22"/>
      <c r="J722" s="28"/>
      <c r="K722" s="29"/>
    </row>
    <row r="723" spans="1:11" s="4" customFormat="1" ht="48" customHeight="1" x14ac:dyDescent="0.25">
      <c r="A723" s="39" t="s">
        <v>257</v>
      </c>
      <c r="B723" s="42" t="s">
        <v>258</v>
      </c>
      <c r="C723" s="9" t="s">
        <v>28</v>
      </c>
      <c r="D723" s="17">
        <f>D725+D726+D727+D728</f>
        <v>3522.77943</v>
      </c>
      <c r="E723" s="9" t="s">
        <v>28</v>
      </c>
      <c r="F723" s="17">
        <f>F725+F726+F727+F728</f>
        <v>0</v>
      </c>
      <c r="G723" s="9" t="s">
        <v>28</v>
      </c>
      <c r="H723" s="17">
        <f>H725+H726+H727+H728</f>
        <v>0</v>
      </c>
      <c r="I723" s="22" t="s">
        <v>248</v>
      </c>
      <c r="J723" s="28"/>
      <c r="K723" s="27" t="s">
        <v>214</v>
      </c>
    </row>
    <row r="724" spans="1:11" s="4" customFormat="1" ht="48" customHeight="1" x14ac:dyDescent="0.25">
      <c r="A724" s="40"/>
      <c r="B724" s="43"/>
      <c r="C724" s="9" t="s">
        <v>21</v>
      </c>
      <c r="D724" s="17"/>
      <c r="E724" s="9" t="s">
        <v>21</v>
      </c>
      <c r="F724" s="17"/>
      <c r="G724" s="9" t="s">
        <v>21</v>
      </c>
      <c r="H724" s="17"/>
      <c r="I724" s="22"/>
      <c r="J724" s="28"/>
      <c r="K724" s="28"/>
    </row>
    <row r="725" spans="1:11" s="4" customFormat="1" ht="48" customHeight="1" x14ac:dyDescent="0.25">
      <c r="A725" s="40"/>
      <c r="B725" s="43"/>
      <c r="C725" s="12" t="s">
        <v>22</v>
      </c>
      <c r="D725" s="17">
        <v>0</v>
      </c>
      <c r="E725" s="12" t="s">
        <v>22</v>
      </c>
      <c r="F725" s="17">
        <v>0</v>
      </c>
      <c r="G725" s="12" t="s">
        <v>22</v>
      </c>
      <c r="H725" s="17">
        <v>0</v>
      </c>
      <c r="I725" s="22"/>
      <c r="J725" s="28"/>
      <c r="K725" s="28"/>
    </row>
    <row r="726" spans="1:11" s="4" customFormat="1" ht="48" customHeight="1" x14ac:dyDescent="0.25">
      <c r="A726" s="40"/>
      <c r="B726" s="43"/>
      <c r="C726" s="12" t="s">
        <v>23</v>
      </c>
      <c r="D726" s="17">
        <v>0</v>
      </c>
      <c r="E726" s="12" t="s">
        <v>23</v>
      </c>
      <c r="F726" s="17">
        <v>0</v>
      </c>
      <c r="G726" s="12" t="s">
        <v>23</v>
      </c>
      <c r="H726" s="17">
        <v>0</v>
      </c>
      <c r="I726" s="22"/>
      <c r="J726" s="28"/>
      <c r="K726" s="28"/>
    </row>
    <row r="727" spans="1:11" s="4" customFormat="1" ht="48" customHeight="1" x14ac:dyDescent="0.25">
      <c r="A727" s="40"/>
      <c r="B727" s="43"/>
      <c r="C727" s="12" t="s">
        <v>24</v>
      </c>
      <c r="D727" s="17">
        <f>3522779.43/1000</f>
        <v>3522.77943</v>
      </c>
      <c r="E727" s="12" t="s">
        <v>24</v>
      </c>
      <c r="F727" s="17">
        <v>0</v>
      </c>
      <c r="G727" s="12" t="s">
        <v>24</v>
      </c>
      <c r="H727" s="17">
        <v>0</v>
      </c>
      <c r="I727" s="22"/>
      <c r="J727" s="28"/>
      <c r="K727" s="28"/>
    </row>
    <row r="728" spans="1:11" s="4" customFormat="1" ht="48" customHeight="1" x14ac:dyDescent="0.25">
      <c r="A728" s="41"/>
      <c r="B728" s="44"/>
      <c r="C728" s="12" t="s">
        <v>25</v>
      </c>
      <c r="D728" s="17">
        <v>0</v>
      </c>
      <c r="E728" s="12" t="s">
        <v>25</v>
      </c>
      <c r="F728" s="17">
        <v>0</v>
      </c>
      <c r="G728" s="12" t="s">
        <v>25</v>
      </c>
      <c r="H728" s="17">
        <v>0</v>
      </c>
      <c r="I728" s="22"/>
      <c r="J728" s="28"/>
      <c r="K728" s="29"/>
    </row>
    <row r="729" spans="1:11" s="4" customFormat="1" x14ac:dyDescent="0.25">
      <c r="A729" s="39" t="s">
        <v>259</v>
      </c>
      <c r="B729" s="42" t="s">
        <v>260</v>
      </c>
      <c r="C729" s="9" t="s">
        <v>28</v>
      </c>
      <c r="D729" s="17">
        <f>D731+D732+D733+D734</f>
        <v>101.53113999999999</v>
      </c>
      <c r="E729" s="9" t="s">
        <v>28</v>
      </c>
      <c r="F729" s="17">
        <f>F731+F732+F733+F734</f>
        <v>0</v>
      </c>
      <c r="G729" s="9" t="s">
        <v>28</v>
      </c>
      <c r="H729" s="17">
        <f>H731+H732+H733+H734</f>
        <v>0</v>
      </c>
      <c r="I729" s="22" t="s">
        <v>248</v>
      </c>
      <c r="J729" s="28"/>
      <c r="K729" s="27" t="s">
        <v>214</v>
      </c>
    </row>
    <row r="730" spans="1:11" s="4" customFormat="1" x14ac:dyDescent="0.25">
      <c r="A730" s="40"/>
      <c r="B730" s="43"/>
      <c r="C730" s="9" t="s">
        <v>21</v>
      </c>
      <c r="D730" s="17"/>
      <c r="E730" s="9" t="s">
        <v>21</v>
      </c>
      <c r="F730" s="17"/>
      <c r="G730" s="9" t="s">
        <v>21</v>
      </c>
      <c r="H730" s="17"/>
      <c r="I730" s="22"/>
      <c r="J730" s="28"/>
      <c r="K730" s="28"/>
    </row>
    <row r="731" spans="1:11" s="4" customFormat="1" x14ac:dyDescent="0.25">
      <c r="A731" s="40"/>
      <c r="B731" s="43"/>
      <c r="C731" s="12" t="s">
        <v>22</v>
      </c>
      <c r="D731" s="17">
        <v>0</v>
      </c>
      <c r="E731" s="12" t="s">
        <v>22</v>
      </c>
      <c r="F731" s="17">
        <v>0</v>
      </c>
      <c r="G731" s="12" t="s">
        <v>22</v>
      </c>
      <c r="H731" s="17">
        <v>0</v>
      </c>
      <c r="I731" s="22"/>
      <c r="J731" s="28"/>
      <c r="K731" s="28"/>
    </row>
    <row r="732" spans="1:11" s="4" customFormat="1" x14ac:dyDescent="0.25">
      <c r="A732" s="40"/>
      <c r="B732" s="43"/>
      <c r="C732" s="12" t="s">
        <v>23</v>
      </c>
      <c r="D732" s="17">
        <v>0</v>
      </c>
      <c r="E732" s="12" t="s">
        <v>23</v>
      </c>
      <c r="F732" s="17">
        <v>0</v>
      </c>
      <c r="G732" s="12" t="s">
        <v>23</v>
      </c>
      <c r="H732" s="17">
        <v>0</v>
      </c>
      <c r="I732" s="22"/>
      <c r="J732" s="28"/>
      <c r="K732" s="28"/>
    </row>
    <row r="733" spans="1:11" s="4" customFormat="1" x14ac:dyDescent="0.25">
      <c r="A733" s="40"/>
      <c r="B733" s="43"/>
      <c r="C733" s="12" t="s">
        <v>24</v>
      </c>
      <c r="D733" s="17">
        <f>101531.14/1000</f>
        <v>101.53113999999999</v>
      </c>
      <c r="E733" s="12" t="s">
        <v>24</v>
      </c>
      <c r="F733" s="17">
        <v>0</v>
      </c>
      <c r="G733" s="12" t="s">
        <v>24</v>
      </c>
      <c r="H733" s="17">
        <v>0</v>
      </c>
      <c r="I733" s="22"/>
      <c r="J733" s="28"/>
      <c r="K733" s="28"/>
    </row>
    <row r="734" spans="1:11" s="4" customFormat="1" x14ac:dyDescent="0.25">
      <c r="A734" s="41"/>
      <c r="B734" s="44"/>
      <c r="C734" s="12" t="s">
        <v>25</v>
      </c>
      <c r="D734" s="17">
        <v>0</v>
      </c>
      <c r="E734" s="12" t="s">
        <v>25</v>
      </c>
      <c r="F734" s="17">
        <v>0</v>
      </c>
      <c r="G734" s="12" t="s">
        <v>25</v>
      </c>
      <c r="H734" s="17">
        <v>0</v>
      </c>
      <c r="I734" s="22"/>
      <c r="J734" s="28"/>
      <c r="K734" s="29"/>
    </row>
    <row r="735" spans="1:11" s="4" customFormat="1" x14ac:dyDescent="0.25">
      <c r="A735" s="39" t="s">
        <v>261</v>
      </c>
      <c r="B735" s="42" t="s">
        <v>262</v>
      </c>
      <c r="C735" s="9" t="s">
        <v>28</v>
      </c>
      <c r="D735" s="17">
        <f>D737+D738+D739+D740</f>
        <v>456.70961999999997</v>
      </c>
      <c r="E735" s="9" t="s">
        <v>28</v>
      </c>
      <c r="F735" s="17">
        <f>F737+F738+F739+F740</f>
        <v>0</v>
      </c>
      <c r="G735" s="9" t="s">
        <v>28</v>
      </c>
      <c r="H735" s="17">
        <f>H737+H738+H739+H740</f>
        <v>0</v>
      </c>
      <c r="I735" s="22" t="s">
        <v>248</v>
      </c>
      <c r="J735" s="28"/>
      <c r="K735" s="27" t="s">
        <v>214</v>
      </c>
    </row>
    <row r="736" spans="1:11" s="4" customFormat="1" x14ac:dyDescent="0.25">
      <c r="A736" s="40"/>
      <c r="B736" s="43"/>
      <c r="C736" s="9" t="s">
        <v>21</v>
      </c>
      <c r="D736" s="17"/>
      <c r="E736" s="9" t="s">
        <v>21</v>
      </c>
      <c r="F736" s="17"/>
      <c r="G736" s="9" t="s">
        <v>21</v>
      </c>
      <c r="H736" s="17"/>
      <c r="I736" s="22"/>
      <c r="J736" s="28"/>
      <c r="K736" s="28"/>
    </row>
    <row r="737" spans="1:11" s="4" customFormat="1" x14ac:dyDescent="0.25">
      <c r="A737" s="40"/>
      <c r="B737" s="43"/>
      <c r="C737" s="12" t="s">
        <v>22</v>
      </c>
      <c r="D737" s="17">
        <v>0</v>
      </c>
      <c r="E737" s="12" t="s">
        <v>22</v>
      </c>
      <c r="F737" s="17">
        <v>0</v>
      </c>
      <c r="G737" s="12" t="s">
        <v>22</v>
      </c>
      <c r="H737" s="17">
        <v>0</v>
      </c>
      <c r="I737" s="22"/>
      <c r="J737" s="28"/>
      <c r="K737" s="28"/>
    </row>
    <row r="738" spans="1:11" s="4" customFormat="1" x14ac:dyDescent="0.25">
      <c r="A738" s="40"/>
      <c r="B738" s="43"/>
      <c r="C738" s="12" t="s">
        <v>23</v>
      </c>
      <c r="D738" s="17">
        <v>0</v>
      </c>
      <c r="E738" s="12" t="s">
        <v>23</v>
      </c>
      <c r="F738" s="17">
        <v>0</v>
      </c>
      <c r="G738" s="12" t="s">
        <v>23</v>
      </c>
      <c r="H738" s="17">
        <v>0</v>
      </c>
      <c r="I738" s="22"/>
      <c r="J738" s="28"/>
      <c r="K738" s="28"/>
    </row>
    <row r="739" spans="1:11" s="4" customFormat="1" x14ac:dyDescent="0.25">
      <c r="A739" s="40"/>
      <c r="B739" s="43"/>
      <c r="C739" s="12" t="s">
        <v>24</v>
      </c>
      <c r="D739" s="17">
        <f>456709.62/1000</f>
        <v>456.70961999999997</v>
      </c>
      <c r="E739" s="12" t="s">
        <v>24</v>
      </c>
      <c r="F739" s="17">
        <v>0</v>
      </c>
      <c r="G739" s="12" t="s">
        <v>24</v>
      </c>
      <c r="H739" s="17">
        <v>0</v>
      </c>
      <c r="I739" s="22"/>
      <c r="J739" s="28"/>
      <c r="K739" s="28"/>
    </row>
    <row r="740" spans="1:11" s="4" customFormat="1" x14ac:dyDescent="0.25">
      <c r="A740" s="41"/>
      <c r="B740" s="44"/>
      <c r="C740" s="12" t="s">
        <v>25</v>
      </c>
      <c r="D740" s="17">
        <v>0</v>
      </c>
      <c r="E740" s="12" t="s">
        <v>25</v>
      </c>
      <c r="F740" s="17">
        <v>0</v>
      </c>
      <c r="G740" s="12" t="s">
        <v>25</v>
      </c>
      <c r="H740" s="17">
        <v>0</v>
      </c>
      <c r="I740" s="22"/>
      <c r="J740" s="28"/>
      <c r="K740" s="29"/>
    </row>
    <row r="741" spans="1:11" s="4" customFormat="1" x14ac:dyDescent="0.25">
      <c r="A741" s="39" t="s">
        <v>263</v>
      </c>
      <c r="B741" s="42" t="s">
        <v>264</v>
      </c>
      <c r="C741" s="9" t="s">
        <v>28</v>
      </c>
      <c r="D741" s="17">
        <f>D743+D744+D745+D746</f>
        <v>265.33942999999999</v>
      </c>
      <c r="E741" s="9" t="s">
        <v>28</v>
      </c>
      <c r="F741" s="17">
        <f>F743+F744+F745+F746</f>
        <v>0</v>
      </c>
      <c r="G741" s="9" t="s">
        <v>28</v>
      </c>
      <c r="H741" s="17">
        <f>H743+H744+H745+H746</f>
        <v>0</v>
      </c>
      <c r="I741" s="22" t="s">
        <v>248</v>
      </c>
      <c r="J741" s="28"/>
      <c r="K741" s="27" t="s">
        <v>214</v>
      </c>
    </row>
    <row r="742" spans="1:11" s="4" customFormat="1" x14ac:dyDescent="0.25">
      <c r="A742" s="40"/>
      <c r="B742" s="43"/>
      <c r="C742" s="9" t="s">
        <v>21</v>
      </c>
      <c r="D742" s="17"/>
      <c r="E742" s="9" t="s">
        <v>21</v>
      </c>
      <c r="F742" s="17"/>
      <c r="G742" s="9" t="s">
        <v>21</v>
      </c>
      <c r="H742" s="17"/>
      <c r="I742" s="22"/>
      <c r="J742" s="28"/>
      <c r="K742" s="28"/>
    </row>
    <row r="743" spans="1:11" s="4" customFormat="1" x14ac:dyDescent="0.25">
      <c r="A743" s="40"/>
      <c r="B743" s="43"/>
      <c r="C743" s="12" t="s">
        <v>22</v>
      </c>
      <c r="D743" s="17">
        <v>0</v>
      </c>
      <c r="E743" s="12" t="s">
        <v>22</v>
      </c>
      <c r="F743" s="17">
        <v>0</v>
      </c>
      <c r="G743" s="12" t="s">
        <v>22</v>
      </c>
      <c r="H743" s="17">
        <v>0</v>
      </c>
      <c r="I743" s="22"/>
      <c r="J743" s="28"/>
      <c r="K743" s="28"/>
    </row>
    <row r="744" spans="1:11" s="4" customFormat="1" x14ac:dyDescent="0.25">
      <c r="A744" s="40"/>
      <c r="B744" s="43"/>
      <c r="C744" s="12" t="s">
        <v>23</v>
      </c>
      <c r="D744" s="17">
        <v>0</v>
      </c>
      <c r="E744" s="12" t="s">
        <v>23</v>
      </c>
      <c r="F744" s="17">
        <v>0</v>
      </c>
      <c r="G744" s="12" t="s">
        <v>23</v>
      </c>
      <c r="H744" s="17">
        <v>0</v>
      </c>
      <c r="I744" s="22"/>
      <c r="J744" s="28"/>
      <c r="K744" s="28"/>
    </row>
    <row r="745" spans="1:11" s="4" customFormat="1" x14ac:dyDescent="0.25">
      <c r="A745" s="40"/>
      <c r="B745" s="43"/>
      <c r="C745" s="12" t="s">
        <v>24</v>
      </c>
      <c r="D745" s="17">
        <f>265339.43/1000</f>
        <v>265.33942999999999</v>
      </c>
      <c r="E745" s="12" t="s">
        <v>24</v>
      </c>
      <c r="F745" s="17">
        <v>0</v>
      </c>
      <c r="G745" s="12" t="s">
        <v>24</v>
      </c>
      <c r="H745" s="17">
        <v>0</v>
      </c>
      <c r="I745" s="22"/>
      <c r="J745" s="28"/>
      <c r="K745" s="28"/>
    </row>
    <row r="746" spans="1:11" s="4" customFormat="1" x14ac:dyDescent="0.25">
      <c r="A746" s="41"/>
      <c r="B746" s="44"/>
      <c r="C746" s="12" t="s">
        <v>25</v>
      </c>
      <c r="D746" s="17">
        <v>0</v>
      </c>
      <c r="E746" s="12" t="s">
        <v>25</v>
      </c>
      <c r="F746" s="17">
        <v>0</v>
      </c>
      <c r="G746" s="12" t="s">
        <v>25</v>
      </c>
      <c r="H746" s="17">
        <v>0</v>
      </c>
      <c r="I746" s="22"/>
      <c r="J746" s="28"/>
      <c r="K746" s="29"/>
    </row>
    <row r="747" spans="1:11" s="4" customFormat="1" x14ac:dyDescent="0.25">
      <c r="A747" s="39" t="s">
        <v>265</v>
      </c>
      <c r="B747" s="42" t="s">
        <v>266</v>
      </c>
      <c r="C747" s="9" t="s">
        <v>28</v>
      </c>
      <c r="D747" s="17">
        <f>D749+D750+D751+D752</f>
        <v>533.26175000000001</v>
      </c>
      <c r="E747" s="9" t="s">
        <v>28</v>
      </c>
      <c r="F747" s="17">
        <f>F749+F750+F751+F752</f>
        <v>0</v>
      </c>
      <c r="G747" s="9" t="s">
        <v>28</v>
      </c>
      <c r="H747" s="17">
        <f>H749+H750+H751+H752</f>
        <v>0</v>
      </c>
      <c r="I747" s="22" t="s">
        <v>248</v>
      </c>
      <c r="J747" s="28"/>
      <c r="K747" s="27" t="s">
        <v>214</v>
      </c>
    </row>
    <row r="748" spans="1:11" s="4" customFormat="1" x14ac:dyDescent="0.25">
      <c r="A748" s="40"/>
      <c r="B748" s="43"/>
      <c r="C748" s="9" t="s">
        <v>21</v>
      </c>
      <c r="D748" s="17"/>
      <c r="E748" s="9" t="s">
        <v>21</v>
      </c>
      <c r="F748" s="17"/>
      <c r="G748" s="9" t="s">
        <v>21</v>
      </c>
      <c r="H748" s="17"/>
      <c r="I748" s="22"/>
      <c r="J748" s="28"/>
      <c r="K748" s="28"/>
    </row>
    <row r="749" spans="1:11" s="4" customFormat="1" x14ac:dyDescent="0.25">
      <c r="A749" s="40"/>
      <c r="B749" s="43"/>
      <c r="C749" s="12" t="s">
        <v>22</v>
      </c>
      <c r="D749" s="17">
        <v>0</v>
      </c>
      <c r="E749" s="12" t="s">
        <v>22</v>
      </c>
      <c r="F749" s="17">
        <v>0</v>
      </c>
      <c r="G749" s="12" t="s">
        <v>22</v>
      </c>
      <c r="H749" s="17">
        <v>0</v>
      </c>
      <c r="I749" s="22"/>
      <c r="J749" s="28"/>
      <c r="K749" s="28"/>
    </row>
    <row r="750" spans="1:11" s="4" customFormat="1" x14ac:dyDescent="0.25">
      <c r="A750" s="40"/>
      <c r="B750" s="43"/>
      <c r="C750" s="12" t="s">
        <v>23</v>
      </c>
      <c r="D750" s="17">
        <v>0</v>
      </c>
      <c r="E750" s="12" t="s">
        <v>23</v>
      </c>
      <c r="F750" s="17">
        <v>0</v>
      </c>
      <c r="G750" s="12" t="s">
        <v>23</v>
      </c>
      <c r="H750" s="17">
        <v>0</v>
      </c>
      <c r="I750" s="22"/>
      <c r="J750" s="28"/>
      <c r="K750" s="28"/>
    </row>
    <row r="751" spans="1:11" s="4" customFormat="1" x14ac:dyDescent="0.25">
      <c r="A751" s="40"/>
      <c r="B751" s="43"/>
      <c r="C751" s="12" t="s">
        <v>24</v>
      </c>
      <c r="D751" s="17">
        <f>533261.75/1000</f>
        <v>533.26175000000001</v>
      </c>
      <c r="E751" s="12" t="s">
        <v>24</v>
      </c>
      <c r="F751" s="17">
        <v>0</v>
      </c>
      <c r="G751" s="12" t="s">
        <v>24</v>
      </c>
      <c r="H751" s="17">
        <v>0</v>
      </c>
      <c r="I751" s="22"/>
      <c r="J751" s="28"/>
      <c r="K751" s="28"/>
    </row>
    <row r="752" spans="1:11" s="4" customFormat="1" x14ac:dyDescent="0.25">
      <c r="A752" s="41"/>
      <c r="B752" s="44"/>
      <c r="C752" s="12" t="s">
        <v>25</v>
      </c>
      <c r="D752" s="17">
        <v>0</v>
      </c>
      <c r="E752" s="12" t="s">
        <v>25</v>
      </c>
      <c r="F752" s="17">
        <v>0</v>
      </c>
      <c r="G752" s="12" t="s">
        <v>25</v>
      </c>
      <c r="H752" s="17">
        <v>0</v>
      </c>
      <c r="I752" s="22"/>
      <c r="J752" s="28"/>
      <c r="K752" s="29"/>
    </row>
    <row r="753" spans="1:11" s="4" customFormat="1" x14ac:dyDescent="0.25">
      <c r="A753" s="39" t="s">
        <v>267</v>
      </c>
      <c r="B753" s="42" t="s">
        <v>268</v>
      </c>
      <c r="C753" s="9" t="s">
        <v>28</v>
      </c>
      <c r="D753" s="17">
        <f>D755+D756+D757+D758</f>
        <v>342.65360999999996</v>
      </c>
      <c r="E753" s="9" t="s">
        <v>28</v>
      </c>
      <c r="F753" s="17">
        <f>F755+F756+F757+F758</f>
        <v>0</v>
      </c>
      <c r="G753" s="9" t="s">
        <v>28</v>
      </c>
      <c r="H753" s="17">
        <f>H755+H756+H757+H758</f>
        <v>0</v>
      </c>
      <c r="I753" s="22" t="s">
        <v>248</v>
      </c>
      <c r="J753" s="28"/>
      <c r="K753" s="27" t="s">
        <v>214</v>
      </c>
    </row>
    <row r="754" spans="1:11" s="4" customFormat="1" x14ac:dyDescent="0.25">
      <c r="A754" s="40"/>
      <c r="B754" s="43"/>
      <c r="C754" s="9" t="s">
        <v>21</v>
      </c>
      <c r="D754" s="17"/>
      <c r="E754" s="9" t="s">
        <v>21</v>
      </c>
      <c r="F754" s="17"/>
      <c r="G754" s="9" t="s">
        <v>21</v>
      </c>
      <c r="H754" s="17"/>
      <c r="I754" s="22"/>
      <c r="J754" s="28"/>
      <c r="K754" s="28"/>
    </row>
    <row r="755" spans="1:11" s="4" customFormat="1" x14ac:dyDescent="0.25">
      <c r="A755" s="40"/>
      <c r="B755" s="43"/>
      <c r="C755" s="12" t="s">
        <v>22</v>
      </c>
      <c r="D755" s="17">
        <v>0</v>
      </c>
      <c r="E755" s="12" t="s">
        <v>22</v>
      </c>
      <c r="F755" s="17">
        <v>0</v>
      </c>
      <c r="G755" s="12" t="s">
        <v>22</v>
      </c>
      <c r="H755" s="17">
        <v>0</v>
      </c>
      <c r="I755" s="22"/>
      <c r="J755" s="28"/>
      <c r="K755" s="28"/>
    </row>
    <row r="756" spans="1:11" s="4" customFormat="1" x14ac:dyDescent="0.25">
      <c r="A756" s="40"/>
      <c r="B756" s="43"/>
      <c r="C756" s="12" t="s">
        <v>23</v>
      </c>
      <c r="D756" s="17">
        <v>0</v>
      </c>
      <c r="E756" s="12" t="s">
        <v>23</v>
      </c>
      <c r="F756" s="17">
        <v>0</v>
      </c>
      <c r="G756" s="12" t="s">
        <v>23</v>
      </c>
      <c r="H756" s="17">
        <v>0</v>
      </c>
      <c r="I756" s="22"/>
      <c r="J756" s="28"/>
      <c r="K756" s="28"/>
    </row>
    <row r="757" spans="1:11" s="4" customFormat="1" x14ac:dyDescent="0.25">
      <c r="A757" s="40"/>
      <c r="B757" s="43"/>
      <c r="C757" s="12" t="s">
        <v>24</v>
      </c>
      <c r="D757" s="17">
        <f>342653.61/1000</f>
        <v>342.65360999999996</v>
      </c>
      <c r="E757" s="12" t="s">
        <v>24</v>
      </c>
      <c r="F757" s="17">
        <v>0</v>
      </c>
      <c r="G757" s="12" t="s">
        <v>24</v>
      </c>
      <c r="H757" s="17">
        <v>0</v>
      </c>
      <c r="I757" s="22"/>
      <c r="J757" s="28"/>
      <c r="K757" s="28"/>
    </row>
    <row r="758" spans="1:11" s="4" customFormat="1" x14ac:dyDescent="0.25">
      <c r="A758" s="41"/>
      <c r="B758" s="44"/>
      <c r="C758" s="12" t="s">
        <v>25</v>
      </c>
      <c r="D758" s="17">
        <v>0</v>
      </c>
      <c r="E758" s="12" t="s">
        <v>25</v>
      </c>
      <c r="F758" s="17">
        <v>0</v>
      </c>
      <c r="G758" s="12" t="s">
        <v>25</v>
      </c>
      <c r="H758" s="17">
        <v>0</v>
      </c>
      <c r="I758" s="22"/>
      <c r="J758" s="28"/>
      <c r="K758" s="29"/>
    </row>
    <row r="759" spans="1:11" s="4" customFormat="1" x14ac:dyDescent="0.25">
      <c r="A759" s="39" t="s">
        <v>269</v>
      </c>
      <c r="B759" s="42" t="s">
        <v>270</v>
      </c>
      <c r="C759" s="9" t="s">
        <v>28</v>
      </c>
      <c r="D759" s="17">
        <f>D761+D762+D763+D764</f>
        <v>294.29528000000005</v>
      </c>
      <c r="E759" s="9" t="s">
        <v>28</v>
      </c>
      <c r="F759" s="17">
        <f>F761+F762+F763+F764</f>
        <v>0</v>
      </c>
      <c r="G759" s="9" t="s">
        <v>28</v>
      </c>
      <c r="H759" s="17">
        <f>H761+H762+H763+H764</f>
        <v>0</v>
      </c>
      <c r="I759" s="22" t="s">
        <v>248</v>
      </c>
      <c r="J759" s="28"/>
      <c r="K759" s="27" t="s">
        <v>214</v>
      </c>
    </row>
    <row r="760" spans="1:11" s="4" customFormat="1" x14ac:dyDescent="0.25">
      <c r="A760" s="40"/>
      <c r="B760" s="43"/>
      <c r="C760" s="9" t="s">
        <v>21</v>
      </c>
      <c r="D760" s="17"/>
      <c r="E760" s="9" t="s">
        <v>21</v>
      </c>
      <c r="F760" s="17"/>
      <c r="G760" s="9" t="s">
        <v>21</v>
      </c>
      <c r="H760" s="17"/>
      <c r="I760" s="22"/>
      <c r="J760" s="28"/>
      <c r="K760" s="28"/>
    </row>
    <row r="761" spans="1:11" s="4" customFormat="1" x14ac:dyDescent="0.25">
      <c r="A761" s="40"/>
      <c r="B761" s="43"/>
      <c r="C761" s="12" t="s">
        <v>22</v>
      </c>
      <c r="D761" s="17">
        <v>0</v>
      </c>
      <c r="E761" s="12" t="s">
        <v>22</v>
      </c>
      <c r="F761" s="17">
        <v>0</v>
      </c>
      <c r="G761" s="12" t="s">
        <v>22</v>
      </c>
      <c r="H761" s="17">
        <v>0</v>
      </c>
      <c r="I761" s="22"/>
      <c r="J761" s="28"/>
      <c r="K761" s="28"/>
    </row>
    <row r="762" spans="1:11" s="4" customFormat="1" x14ac:dyDescent="0.25">
      <c r="A762" s="40"/>
      <c r="B762" s="43"/>
      <c r="C762" s="12" t="s">
        <v>23</v>
      </c>
      <c r="D762" s="17">
        <v>0</v>
      </c>
      <c r="E762" s="12" t="s">
        <v>23</v>
      </c>
      <c r="F762" s="17">
        <v>0</v>
      </c>
      <c r="G762" s="12" t="s">
        <v>23</v>
      </c>
      <c r="H762" s="17">
        <v>0</v>
      </c>
      <c r="I762" s="22"/>
      <c r="J762" s="28"/>
      <c r="K762" s="28"/>
    </row>
    <row r="763" spans="1:11" s="4" customFormat="1" x14ac:dyDescent="0.25">
      <c r="A763" s="40"/>
      <c r="B763" s="43"/>
      <c r="C763" s="12" t="s">
        <v>24</v>
      </c>
      <c r="D763" s="17">
        <f>294295.28/1000</f>
        <v>294.29528000000005</v>
      </c>
      <c r="E763" s="12" t="s">
        <v>24</v>
      </c>
      <c r="F763" s="17">
        <v>0</v>
      </c>
      <c r="G763" s="12" t="s">
        <v>24</v>
      </c>
      <c r="H763" s="17">
        <v>0</v>
      </c>
      <c r="I763" s="22"/>
      <c r="J763" s="28"/>
      <c r="K763" s="28"/>
    </row>
    <row r="764" spans="1:11" s="4" customFormat="1" x14ac:dyDescent="0.25">
      <c r="A764" s="41"/>
      <c r="B764" s="44"/>
      <c r="C764" s="12" t="s">
        <v>25</v>
      </c>
      <c r="D764" s="17">
        <v>0</v>
      </c>
      <c r="E764" s="12" t="s">
        <v>25</v>
      </c>
      <c r="F764" s="17">
        <v>0</v>
      </c>
      <c r="G764" s="12" t="s">
        <v>25</v>
      </c>
      <c r="H764" s="17">
        <v>0</v>
      </c>
      <c r="I764" s="22"/>
      <c r="J764" s="28"/>
      <c r="K764" s="29"/>
    </row>
    <row r="765" spans="1:11" s="4" customFormat="1" x14ac:dyDescent="0.25">
      <c r="A765" s="39" t="s">
        <v>271</v>
      </c>
      <c r="B765" s="42" t="s">
        <v>272</v>
      </c>
      <c r="C765" s="9" t="s">
        <v>28</v>
      </c>
      <c r="D765" s="17">
        <f>D767+D768+D769+D770</f>
        <v>2396.9690099999998</v>
      </c>
      <c r="E765" s="9" t="s">
        <v>28</v>
      </c>
      <c r="F765" s="17">
        <f>F767+F768+F769+F770</f>
        <v>0</v>
      </c>
      <c r="G765" s="9" t="s">
        <v>28</v>
      </c>
      <c r="H765" s="17">
        <f>H767+H768+H769+H770</f>
        <v>0</v>
      </c>
      <c r="I765" s="22" t="s">
        <v>248</v>
      </c>
      <c r="J765" s="28"/>
      <c r="K765" s="27" t="s">
        <v>214</v>
      </c>
    </row>
    <row r="766" spans="1:11" s="4" customFormat="1" x14ac:dyDescent="0.25">
      <c r="A766" s="40"/>
      <c r="B766" s="43"/>
      <c r="C766" s="9" t="s">
        <v>21</v>
      </c>
      <c r="D766" s="17"/>
      <c r="E766" s="9" t="s">
        <v>21</v>
      </c>
      <c r="F766" s="17"/>
      <c r="G766" s="9" t="s">
        <v>21</v>
      </c>
      <c r="H766" s="17"/>
      <c r="I766" s="22"/>
      <c r="J766" s="28"/>
      <c r="K766" s="28"/>
    </row>
    <row r="767" spans="1:11" s="4" customFormat="1" x14ac:dyDescent="0.25">
      <c r="A767" s="40"/>
      <c r="B767" s="43"/>
      <c r="C767" s="12" t="s">
        <v>22</v>
      </c>
      <c r="D767" s="17">
        <v>0</v>
      </c>
      <c r="E767" s="12" t="s">
        <v>22</v>
      </c>
      <c r="F767" s="17">
        <v>0</v>
      </c>
      <c r="G767" s="12" t="s">
        <v>22</v>
      </c>
      <c r="H767" s="17">
        <v>0</v>
      </c>
      <c r="I767" s="22"/>
      <c r="J767" s="28"/>
      <c r="K767" s="28"/>
    </row>
    <row r="768" spans="1:11" s="4" customFormat="1" x14ac:dyDescent="0.25">
      <c r="A768" s="40"/>
      <c r="B768" s="43"/>
      <c r="C768" s="12" t="s">
        <v>23</v>
      </c>
      <c r="D768" s="17">
        <v>0</v>
      </c>
      <c r="E768" s="12" t="s">
        <v>23</v>
      </c>
      <c r="F768" s="17">
        <v>0</v>
      </c>
      <c r="G768" s="12" t="s">
        <v>23</v>
      </c>
      <c r="H768" s="17">
        <v>0</v>
      </c>
      <c r="I768" s="22"/>
      <c r="J768" s="28"/>
      <c r="K768" s="28"/>
    </row>
    <row r="769" spans="1:11" s="4" customFormat="1" x14ac:dyDescent="0.25">
      <c r="A769" s="40"/>
      <c r="B769" s="43"/>
      <c r="C769" s="12" t="s">
        <v>24</v>
      </c>
      <c r="D769" s="17">
        <f>2396969.01/1000</f>
        <v>2396.9690099999998</v>
      </c>
      <c r="E769" s="12" t="s">
        <v>24</v>
      </c>
      <c r="F769" s="17">
        <v>0</v>
      </c>
      <c r="G769" s="12" t="s">
        <v>24</v>
      </c>
      <c r="H769" s="17">
        <v>0</v>
      </c>
      <c r="I769" s="22"/>
      <c r="J769" s="28"/>
      <c r="K769" s="28"/>
    </row>
    <row r="770" spans="1:11" s="4" customFormat="1" x14ac:dyDescent="0.25">
      <c r="A770" s="41"/>
      <c r="B770" s="44"/>
      <c r="C770" s="12" t="s">
        <v>25</v>
      </c>
      <c r="D770" s="17">
        <v>0</v>
      </c>
      <c r="E770" s="12" t="s">
        <v>25</v>
      </c>
      <c r="F770" s="17">
        <v>0</v>
      </c>
      <c r="G770" s="12" t="s">
        <v>25</v>
      </c>
      <c r="H770" s="17">
        <v>0</v>
      </c>
      <c r="I770" s="22"/>
      <c r="J770" s="28"/>
      <c r="K770" s="29"/>
    </row>
    <row r="771" spans="1:11" s="4" customFormat="1" x14ac:dyDescent="0.25">
      <c r="A771" s="39" t="s">
        <v>273</v>
      </c>
      <c r="B771" s="42" t="s">
        <v>274</v>
      </c>
      <c r="C771" s="9" t="s">
        <v>28</v>
      </c>
      <c r="D771" s="17">
        <f>D773+D774+D775+D776</f>
        <v>448.19488000000001</v>
      </c>
      <c r="E771" s="9" t="s">
        <v>28</v>
      </c>
      <c r="F771" s="17">
        <f>F773+F774+F775+F776</f>
        <v>0</v>
      </c>
      <c r="G771" s="9" t="s">
        <v>28</v>
      </c>
      <c r="H771" s="17">
        <f>H773+H774+H775+H776</f>
        <v>0</v>
      </c>
      <c r="I771" s="22" t="s">
        <v>248</v>
      </c>
      <c r="J771" s="28"/>
      <c r="K771" s="27" t="s">
        <v>214</v>
      </c>
    </row>
    <row r="772" spans="1:11" s="4" customFormat="1" x14ac:dyDescent="0.25">
      <c r="A772" s="40"/>
      <c r="B772" s="43"/>
      <c r="C772" s="9" t="s">
        <v>21</v>
      </c>
      <c r="D772" s="17"/>
      <c r="E772" s="9" t="s">
        <v>21</v>
      </c>
      <c r="F772" s="17"/>
      <c r="G772" s="9" t="s">
        <v>21</v>
      </c>
      <c r="H772" s="17"/>
      <c r="I772" s="22"/>
      <c r="J772" s="28"/>
      <c r="K772" s="28"/>
    </row>
    <row r="773" spans="1:11" s="4" customFormat="1" x14ac:dyDescent="0.25">
      <c r="A773" s="40"/>
      <c r="B773" s="43"/>
      <c r="C773" s="12" t="s">
        <v>22</v>
      </c>
      <c r="D773" s="17">
        <v>0</v>
      </c>
      <c r="E773" s="12" t="s">
        <v>22</v>
      </c>
      <c r="F773" s="17">
        <v>0</v>
      </c>
      <c r="G773" s="12" t="s">
        <v>22</v>
      </c>
      <c r="H773" s="17">
        <v>0</v>
      </c>
      <c r="I773" s="22"/>
      <c r="J773" s="28"/>
      <c r="K773" s="28"/>
    </row>
    <row r="774" spans="1:11" s="4" customFormat="1" x14ac:dyDescent="0.25">
      <c r="A774" s="40"/>
      <c r="B774" s="43"/>
      <c r="C774" s="12" t="s">
        <v>23</v>
      </c>
      <c r="D774" s="17">
        <v>0</v>
      </c>
      <c r="E774" s="12" t="s">
        <v>23</v>
      </c>
      <c r="F774" s="17">
        <v>0</v>
      </c>
      <c r="G774" s="12" t="s">
        <v>23</v>
      </c>
      <c r="H774" s="17">
        <v>0</v>
      </c>
      <c r="I774" s="22"/>
      <c r="J774" s="28"/>
      <c r="K774" s="28"/>
    </row>
    <row r="775" spans="1:11" s="4" customFormat="1" x14ac:dyDescent="0.25">
      <c r="A775" s="40"/>
      <c r="B775" s="43"/>
      <c r="C775" s="12" t="s">
        <v>24</v>
      </c>
      <c r="D775" s="17">
        <f>448194.88/1000</f>
        <v>448.19488000000001</v>
      </c>
      <c r="E775" s="12" t="s">
        <v>24</v>
      </c>
      <c r="F775" s="17">
        <v>0</v>
      </c>
      <c r="G775" s="12" t="s">
        <v>24</v>
      </c>
      <c r="H775" s="17">
        <v>0</v>
      </c>
      <c r="I775" s="22"/>
      <c r="J775" s="28"/>
      <c r="K775" s="28"/>
    </row>
    <row r="776" spans="1:11" s="4" customFormat="1" x14ac:dyDescent="0.25">
      <c r="A776" s="41"/>
      <c r="B776" s="44"/>
      <c r="C776" s="12" t="s">
        <v>25</v>
      </c>
      <c r="D776" s="17">
        <v>0</v>
      </c>
      <c r="E776" s="12" t="s">
        <v>25</v>
      </c>
      <c r="F776" s="17">
        <v>0</v>
      </c>
      <c r="G776" s="12" t="s">
        <v>25</v>
      </c>
      <c r="H776" s="17">
        <v>0</v>
      </c>
      <c r="I776" s="22"/>
      <c r="J776" s="28"/>
      <c r="K776" s="29"/>
    </row>
    <row r="777" spans="1:11" s="4" customFormat="1" x14ac:dyDescent="0.25">
      <c r="A777" s="39" t="s">
        <v>275</v>
      </c>
      <c r="B777" s="42" t="s">
        <v>276</v>
      </c>
      <c r="C777" s="9" t="s">
        <v>28</v>
      </c>
      <c r="D777" s="17">
        <f>D779+D780+D781+D782</f>
        <v>3307.7026599999999</v>
      </c>
      <c r="E777" s="9" t="s">
        <v>28</v>
      </c>
      <c r="F777" s="17">
        <f>F779+F780+F781+F782</f>
        <v>0</v>
      </c>
      <c r="G777" s="9" t="s">
        <v>28</v>
      </c>
      <c r="H777" s="17">
        <f>H779+H780+H781+H782</f>
        <v>0</v>
      </c>
      <c r="I777" s="22" t="s">
        <v>248</v>
      </c>
      <c r="J777" s="28"/>
      <c r="K777" s="27" t="s">
        <v>214</v>
      </c>
    </row>
    <row r="778" spans="1:11" s="4" customFormat="1" x14ac:dyDescent="0.25">
      <c r="A778" s="40"/>
      <c r="B778" s="43"/>
      <c r="C778" s="9" t="s">
        <v>21</v>
      </c>
      <c r="D778" s="17"/>
      <c r="E778" s="9" t="s">
        <v>21</v>
      </c>
      <c r="F778" s="17"/>
      <c r="G778" s="9" t="s">
        <v>21</v>
      </c>
      <c r="H778" s="17"/>
      <c r="I778" s="22"/>
      <c r="J778" s="28"/>
      <c r="K778" s="28"/>
    </row>
    <row r="779" spans="1:11" s="4" customFormat="1" x14ac:dyDescent="0.25">
      <c r="A779" s="40"/>
      <c r="B779" s="43"/>
      <c r="C779" s="12" t="s">
        <v>22</v>
      </c>
      <c r="D779" s="17">
        <v>0</v>
      </c>
      <c r="E779" s="12" t="s">
        <v>22</v>
      </c>
      <c r="F779" s="17">
        <v>0</v>
      </c>
      <c r="G779" s="12" t="s">
        <v>22</v>
      </c>
      <c r="H779" s="17">
        <v>0</v>
      </c>
      <c r="I779" s="22"/>
      <c r="J779" s="28"/>
      <c r="K779" s="28"/>
    </row>
    <row r="780" spans="1:11" s="4" customFormat="1" x14ac:dyDescent="0.25">
      <c r="A780" s="40"/>
      <c r="B780" s="43"/>
      <c r="C780" s="12" t="s">
        <v>23</v>
      </c>
      <c r="D780" s="17">
        <v>0</v>
      </c>
      <c r="E780" s="12" t="s">
        <v>23</v>
      </c>
      <c r="F780" s="17">
        <v>0</v>
      </c>
      <c r="G780" s="12" t="s">
        <v>23</v>
      </c>
      <c r="H780" s="17">
        <v>0</v>
      </c>
      <c r="I780" s="22"/>
      <c r="J780" s="28"/>
      <c r="K780" s="28"/>
    </row>
    <row r="781" spans="1:11" s="4" customFormat="1" x14ac:dyDescent="0.25">
      <c r="A781" s="40"/>
      <c r="B781" s="43"/>
      <c r="C781" s="12" t="s">
        <v>24</v>
      </c>
      <c r="D781" s="17">
        <f>3307702.66/1000</f>
        <v>3307.7026599999999</v>
      </c>
      <c r="E781" s="12" t="s">
        <v>24</v>
      </c>
      <c r="F781" s="17">
        <v>0</v>
      </c>
      <c r="G781" s="12" t="s">
        <v>24</v>
      </c>
      <c r="H781" s="17">
        <v>0</v>
      </c>
      <c r="I781" s="22"/>
      <c r="J781" s="28"/>
      <c r="K781" s="28"/>
    </row>
    <row r="782" spans="1:11" s="4" customFormat="1" x14ac:dyDescent="0.25">
      <c r="A782" s="41"/>
      <c r="B782" s="44"/>
      <c r="C782" s="12" t="s">
        <v>25</v>
      </c>
      <c r="D782" s="17">
        <v>0</v>
      </c>
      <c r="E782" s="12" t="s">
        <v>25</v>
      </c>
      <c r="F782" s="17">
        <v>0</v>
      </c>
      <c r="G782" s="12" t="s">
        <v>25</v>
      </c>
      <c r="H782" s="17">
        <v>0</v>
      </c>
      <c r="I782" s="22"/>
      <c r="J782" s="28"/>
      <c r="K782" s="29"/>
    </row>
    <row r="783" spans="1:11" s="4" customFormat="1" x14ac:dyDescent="0.25">
      <c r="A783" s="39" t="s">
        <v>277</v>
      </c>
      <c r="B783" s="42" t="s">
        <v>278</v>
      </c>
      <c r="C783" s="9" t="s">
        <v>28</v>
      </c>
      <c r="D783" s="17">
        <f>D785+D786+D787+D788</f>
        <v>263.63891999999998</v>
      </c>
      <c r="E783" s="9" t="s">
        <v>28</v>
      </c>
      <c r="F783" s="17">
        <f>F785+F786+F787+F788</f>
        <v>0</v>
      </c>
      <c r="G783" s="9" t="s">
        <v>28</v>
      </c>
      <c r="H783" s="17">
        <f>H785+H786+H787+H788</f>
        <v>0</v>
      </c>
      <c r="I783" s="22" t="s">
        <v>248</v>
      </c>
      <c r="J783" s="28"/>
      <c r="K783" s="27" t="s">
        <v>214</v>
      </c>
    </row>
    <row r="784" spans="1:11" s="4" customFormat="1" x14ac:dyDescent="0.25">
      <c r="A784" s="40"/>
      <c r="B784" s="43"/>
      <c r="C784" s="9" t="s">
        <v>21</v>
      </c>
      <c r="D784" s="17"/>
      <c r="E784" s="9" t="s">
        <v>21</v>
      </c>
      <c r="F784" s="17"/>
      <c r="G784" s="9" t="s">
        <v>21</v>
      </c>
      <c r="H784" s="17"/>
      <c r="I784" s="22"/>
      <c r="J784" s="28"/>
      <c r="K784" s="28"/>
    </row>
    <row r="785" spans="1:11" s="4" customFormat="1" x14ac:dyDescent="0.25">
      <c r="A785" s="40"/>
      <c r="B785" s="43"/>
      <c r="C785" s="12" t="s">
        <v>22</v>
      </c>
      <c r="D785" s="17">
        <v>0</v>
      </c>
      <c r="E785" s="12" t="s">
        <v>22</v>
      </c>
      <c r="F785" s="17">
        <v>0</v>
      </c>
      <c r="G785" s="12" t="s">
        <v>22</v>
      </c>
      <c r="H785" s="17">
        <v>0</v>
      </c>
      <c r="I785" s="22"/>
      <c r="J785" s="28"/>
      <c r="K785" s="28"/>
    </row>
    <row r="786" spans="1:11" s="4" customFormat="1" x14ac:dyDescent="0.25">
      <c r="A786" s="40"/>
      <c r="B786" s="43"/>
      <c r="C786" s="12" t="s">
        <v>23</v>
      </c>
      <c r="D786" s="17">
        <v>0</v>
      </c>
      <c r="E786" s="12" t="s">
        <v>23</v>
      </c>
      <c r="F786" s="17">
        <v>0</v>
      </c>
      <c r="G786" s="12" t="s">
        <v>23</v>
      </c>
      <c r="H786" s="17">
        <v>0</v>
      </c>
      <c r="I786" s="22"/>
      <c r="J786" s="28"/>
      <c r="K786" s="28"/>
    </row>
    <row r="787" spans="1:11" s="4" customFormat="1" x14ac:dyDescent="0.25">
      <c r="A787" s="40"/>
      <c r="B787" s="43"/>
      <c r="C787" s="12" t="s">
        <v>24</v>
      </c>
      <c r="D787" s="17">
        <f>263638.92/1000</f>
        <v>263.63891999999998</v>
      </c>
      <c r="E787" s="12" t="s">
        <v>24</v>
      </c>
      <c r="F787" s="17">
        <v>0</v>
      </c>
      <c r="G787" s="12" t="s">
        <v>24</v>
      </c>
      <c r="H787" s="17">
        <v>0</v>
      </c>
      <c r="I787" s="22"/>
      <c r="J787" s="28"/>
      <c r="K787" s="28"/>
    </row>
    <row r="788" spans="1:11" s="4" customFormat="1" x14ac:dyDescent="0.25">
      <c r="A788" s="41"/>
      <c r="B788" s="44"/>
      <c r="C788" s="12" t="s">
        <v>25</v>
      </c>
      <c r="D788" s="17">
        <v>0</v>
      </c>
      <c r="E788" s="12" t="s">
        <v>25</v>
      </c>
      <c r="F788" s="17">
        <v>0</v>
      </c>
      <c r="G788" s="12" t="s">
        <v>25</v>
      </c>
      <c r="H788" s="17">
        <v>0</v>
      </c>
      <c r="I788" s="22"/>
      <c r="J788" s="28"/>
      <c r="K788" s="29"/>
    </row>
    <row r="789" spans="1:11" s="4" customFormat="1" x14ac:dyDescent="0.25">
      <c r="A789" s="39" t="s">
        <v>279</v>
      </c>
      <c r="B789" s="42" t="s">
        <v>280</v>
      </c>
      <c r="C789" s="9" t="s">
        <v>28</v>
      </c>
      <c r="D789" s="17">
        <f>D791+D792+D793+D794</f>
        <v>277.69171999999998</v>
      </c>
      <c r="E789" s="9" t="s">
        <v>28</v>
      </c>
      <c r="F789" s="17">
        <f>F791+F792+F793+F794</f>
        <v>0</v>
      </c>
      <c r="G789" s="9" t="s">
        <v>28</v>
      </c>
      <c r="H789" s="17">
        <f>H791+H792+H793+H794</f>
        <v>0</v>
      </c>
      <c r="I789" s="22" t="s">
        <v>248</v>
      </c>
      <c r="J789" s="28"/>
      <c r="K789" s="27" t="s">
        <v>214</v>
      </c>
    </row>
    <row r="790" spans="1:11" s="4" customFormat="1" x14ac:dyDescent="0.25">
      <c r="A790" s="40"/>
      <c r="B790" s="43"/>
      <c r="C790" s="9" t="s">
        <v>21</v>
      </c>
      <c r="D790" s="17"/>
      <c r="E790" s="9" t="s">
        <v>21</v>
      </c>
      <c r="F790" s="17"/>
      <c r="G790" s="9" t="s">
        <v>21</v>
      </c>
      <c r="H790" s="17"/>
      <c r="I790" s="22"/>
      <c r="J790" s="28"/>
      <c r="K790" s="28"/>
    </row>
    <row r="791" spans="1:11" s="4" customFormat="1" x14ac:dyDescent="0.25">
      <c r="A791" s="40"/>
      <c r="B791" s="43"/>
      <c r="C791" s="12" t="s">
        <v>22</v>
      </c>
      <c r="D791" s="17">
        <v>0</v>
      </c>
      <c r="E791" s="12" t="s">
        <v>22</v>
      </c>
      <c r="F791" s="17">
        <v>0</v>
      </c>
      <c r="G791" s="12" t="s">
        <v>22</v>
      </c>
      <c r="H791" s="17">
        <v>0</v>
      </c>
      <c r="I791" s="22"/>
      <c r="J791" s="28"/>
      <c r="K791" s="28"/>
    </row>
    <row r="792" spans="1:11" s="4" customFormat="1" x14ac:dyDescent="0.25">
      <c r="A792" s="40"/>
      <c r="B792" s="43"/>
      <c r="C792" s="12" t="s">
        <v>23</v>
      </c>
      <c r="D792" s="17">
        <v>0</v>
      </c>
      <c r="E792" s="12" t="s">
        <v>23</v>
      </c>
      <c r="F792" s="17">
        <v>0</v>
      </c>
      <c r="G792" s="12" t="s">
        <v>23</v>
      </c>
      <c r="H792" s="17">
        <v>0</v>
      </c>
      <c r="I792" s="22"/>
      <c r="J792" s="28"/>
      <c r="K792" s="28"/>
    </row>
    <row r="793" spans="1:11" s="4" customFormat="1" x14ac:dyDescent="0.25">
      <c r="A793" s="40"/>
      <c r="B793" s="43"/>
      <c r="C793" s="12" t="s">
        <v>24</v>
      </c>
      <c r="D793" s="17">
        <f>277691.72/1000</f>
        <v>277.69171999999998</v>
      </c>
      <c r="E793" s="12" t="s">
        <v>24</v>
      </c>
      <c r="F793" s="17">
        <v>0</v>
      </c>
      <c r="G793" s="12" t="s">
        <v>24</v>
      </c>
      <c r="H793" s="17">
        <v>0</v>
      </c>
      <c r="I793" s="22"/>
      <c r="J793" s="28"/>
      <c r="K793" s="28"/>
    </row>
    <row r="794" spans="1:11" s="4" customFormat="1" x14ac:dyDescent="0.25">
      <c r="A794" s="41"/>
      <c r="B794" s="44"/>
      <c r="C794" s="12" t="s">
        <v>25</v>
      </c>
      <c r="D794" s="17">
        <v>0</v>
      </c>
      <c r="E794" s="12" t="s">
        <v>25</v>
      </c>
      <c r="F794" s="17">
        <v>0</v>
      </c>
      <c r="G794" s="12" t="s">
        <v>25</v>
      </c>
      <c r="H794" s="17">
        <v>0</v>
      </c>
      <c r="I794" s="22"/>
      <c r="J794" s="28"/>
      <c r="K794" s="29"/>
    </row>
    <row r="795" spans="1:11" s="4" customFormat="1" x14ac:dyDescent="0.25">
      <c r="A795" s="39" t="s">
        <v>281</v>
      </c>
      <c r="B795" s="42" t="s">
        <v>282</v>
      </c>
      <c r="C795" s="9" t="s">
        <v>28</v>
      </c>
      <c r="D795" s="17">
        <f>D797+D798+D799+D800</f>
        <v>569.38500999999997</v>
      </c>
      <c r="E795" s="9" t="s">
        <v>28</v>
      </c>
      <c r="F795" s="17">
        <f>F797+F798+F799+F800</f>
        <v>0</v>
      </c>
      <c r="G795" s="9" t="s">
        <v>28</v>
      </c>
      <c r="H795" s="17">
        <f>H797+H798+H799+H800</f>
        <v>0</v>
      </c>
      <c r="I795" s="22" t="s">
        <v>248</v>
      </c>
      <c r="J795" s="28"/>
      <c r="K795" s="27" t="s">
        <v>214</v>
      </c>
    </row>
    <row r="796" spans="1:11" s="4" customFormat="1" x14ac:dyDescent="0.25">
      <c r="A796" s="40"/>
      <c r="B796" s="43"/>
      <c r="C796" s="9" t="s">
        <v>21</v>
      </c>
      <c r="D796" s="17"/>
      <c r="E796" s="9" t="s">
        <v>21</v>
      </c>
      <c r="F796" s="17"/>
      <c r="G796" s="9" t="s">
        <v>21</v>
      </c>
      <c r="H796" s="17"/>
      <c r="I796" s="22"/>
      <c r="J796" s="28"/>
      <c r="K796" s="28"/>
    </row>
    <row r="797" spans="1:11" s="4" customFormat="1" x14ac:dyDescent="0.25">
      <c r="A797" s="40"/>
      <c r="B797" s="43"/>
      <c r="C797" s="12" t="s">
        <v>22</v>
      </c>
      <c r="D797" s="17">
        <v>0</v>
      </c>
      <c r="E797" s="12" t="s">
        <v>22</v>
      </c>
      <c r="F797" s="17">
        <v>0</v>
      </c>
      <c r="G797" s="12" t="s">
        <v>22</v>
      </c>
      <c r="H797" s="17">
        <v>0</v>
      </c>
      <c r="I797" s="22"/>
      <c r="J797" s="28"/>
      <c r="K797" s="28"/>
    </row>
    <row r="798" spans="1:11" s="4" customFormat="1" x14ac:dyDescent="0.25">
      <c r="A798" s="40"/>
      <c r="B798" s="43"/>
      <c r="C798" s="12" t="s">
        <v>23</v>
      </c>
      <c r="D798" s="17">
        <v>0</v>
      </c>
      <c r="E798" s="12" t="s">
        <v>23</v>
      </c>
      <c r="F798" s="17">
        <v>0</v>
      </c>
      <c r="G798" s="12" t="s">
        <v>23</v>
      </c>
      <c r="H798" s="17">
        <v>0</v>
      </c>
      <c r="I798" s="22"/>
      <c r="J798" s="28"/>
      <c r="K798" s="28"/>
    </row>
    <row r="799" spans="1:11" s="4" customFormat="1" x14ac:dyDescent="0.25">
      <c r="A799" s="40"/>
      <c r="B799" s="43"/>
      <c r="C799" s="12" t="s">
        <v>24</v>
      </c>
      <c r="D799" s="17">
        <f>569385.01/1000</f>
        <v>569.38500999999997</v>
      </c>
      <c r="E799" s="12" t="s">
        <v>24</v>
      </c>
      <c r="F799" s="17">
        <v>0</v>
      </c>
      <c r="G799" s="12" t="s">
        <v>24</v>
      </c>
      <c r="H799" s="17">
        <v>0</v>
      </c>
      <c r="I799" s="22"/>
      <c r="J799" s="28"/>
      <c r="K799" s="28"/>
    </row>
    <row r="800" spans="1:11" s="4" customFormat="1" x14ac:dyDescent="0.25">
      <c r="A800" s="41"/>
      <c r="B800" s="44"/>
      <c r="C800" s="12" t="s">
        <v>25</v>
      </c>
      <c r="D800" s="17">
        <v>0</v>
      </c>
      <c r="E800" s="12" t="s">
        <v>25</v>
      </c>
      <c r="F800" s="17">
        <v>0</v>
      </c>
      <c r="G800" s="12" t="s">
        <v>25</v>
      </c>
      <c r="H800" s="17">
        <v>0</v>
      </c>
      <c r="I800" s="22"/>
      <c r="J800" s="28"/>
      <c r="K800" s="29"/>
    </row>
    <row r="801" spans="1:11" s="4" customFormat="1" x14ac:dyDescent="0.25">
      <c r="A801" s="39" t="s">
        <v>283</v>
      </c>
      <c r="B801" s="42" t="s">
        <v>284</v>
      </c>
      <c r="C801" s="9" t="s">
        <v>28</v>
      </c>
      <c r="D801" s="17">
        <f>D803+D804+D805+D806</f>
        <v>268.86</v>
      </c>
      <c r="E801" s="9" t="s">
        <v>28</v>
      </c>
      <c r="F801" s="17">
        <f>F803+F804+F805+F806</f>
        <v>0</v>
      </c>
      <c r="G801" s="9" t="s">
        <v>28</v>
      </c>
      <c r="H801" s="17">
        <f>H803+H804+H805+H806</f>
        <v>0</v>
      </c>
      <c r="I801" s="22" t="s">
        <v>248</v>
      </c>
      <c r="J801" s="28"/>
      <c r="K801" s="27" t="s">
        <v>214</v>
      </c>
    </row>
    <row r="802" spans="1:11" s="4" customFormat="1" x14ac:dyDescent="0.25">
      <c r="A802" s="40"/>
      <c r="B802" s="43"/>
      <c r="C802" s="9" t="s">
        <v>21</v>
      </c>
      <c r="D802" s="17"/>
      <c r="E802" s="9" t="s">
        <v>21</v>
      </c>
      <c r="F802" s="17"/>
      <c r="G802" s="9" t="s">
        <v>21</v>
      </c>
      <c r="H802" s="17"/>
      <c r="I802" s="22"/>
      <c r="J802" s="28"/>
      <c r="K802" s="28"/>
    </row>
    <row r="803" spans="1:11" s="4" customFormat="1" x14ac:dyDescent="0.25">
      <c r="A803" s="40"/>
      <c r="B803" s="43"/>
      <c r="C803" s="12" t="s">
        <v>22</v>
      </c>
      <c r="D803" s="17">
        <v>0</v>
      </c>
      <c r="E803" s="12" t="s">
        <v>22</v>
      </c>
      <c r="F803" s="17">
        <v>0</v>
      </c>
      <c r="G803" s="12" t="s">
        <v>22</v>
      </c>
      <c r="H803" s="17">
        <v>0</v>
      </c>
      <c r="I803" s="22"/>
      <c r="J803" s="28"/>
      <c r="K803" s="28"/>
    </row>
    <row r="804" spans="1:11" s="4" customFormat="1" x14ac:dyDescent="0.25">
      <c r="A804" s="40"/>
      <c r="B804" s="43"/>
      <c r="C804" s="12" t="s">
        <v>23</v>
      </c>
      <c r="D804" s="17">
        <v>0</v>
      </c>
      <c r="E804" s="12" t="s">
        <v>23</v>
      </c>
      <c r="F804" s="17">
        <v>0</v>
      </c>
      <c r="G804" s="12" t="s">
        <v>23</v>
      </c>
      <c r="H804" s="17">
        <v>0</v>
      </c>
      <c r="I804" s="22"/>
      <c r="J804" s="28"/>
      <c r="K804" s="28"/>
    </row>
    <row r="805" spans="1:11" s="4" customFormat="1" x14ac:dyDescent="0.25">
      <c r="A805" s="40"/>
      <c r="B805" s="43"/>
      <c r="C805" s="12" t="s">
        <v>24</v>
      </c>
      <c r="D805" s="17">
        <f>268860/1000</f>
        <v>268.86</v>
      </c>
      <c r="E805" s="12" t="s">
        <v>24</v>
      </c>
      <c r="F805" s="17">
        <v>0</v>
      </c>
      <c r="G805" s="12" t="s">
        <v>24</v>
      </c>
      <c r="H805" s="17">
        <v>0</v>
      </c>
      <c r="I805" s="22"/>
      <c r="J805" s="28"/>
      <c r="K805" s="28"/>
    </row>
    <row r="806" spans="1:11" s="4" customFormat="1" x14ac:dyDescent="0.25">
      <c r="A806" s="41"/>
      <c r="B806" s="44"/>
      <c r="C806" s="12" t="s">
        <v>25</v>
      </c>
      <c r="D806" s="17">
        <v>0</v>
      </c>
      <c r="E806" s="12" t="s">
        <v>25</v>
      </c>
      <c r="F806" s="17">
        <v>0</v>
      </c>
      <c r="G806" s="12" t="s">
        <v>25</v>
      </c>
      <c r="H806" s="17">
        <v>0</v>
      </c>
      <c r="I806" s="22"/>
      <c r="J806" s="28"/>
      <c r="K806" s="29"/>
    </row>
    <row r="807" spans="1:11" s="4" customFormat="1" x14ac:dyDescent="0.25">
      <c r="A807" s="39" t="s">
        <v>285</v>
      </c>
      <c r="B807" s="42" t="s">
        <v>286</v>
      </c>
      <c r="C807" s="9" t="s">
        <v>28</v>
      </c>
      <c r="D807" s="17">
        <f>D809+D810+D811+D812</f>
        <v>283.06526000000002</v>
      </c>
      <c r="E807" s="9" t="s">
        <v>28</v>
      </c>
      <c r="F807" s="17">
        <f>F809+F810+F811+F812</f>
        <v>0</v>
      </c>
      <c r="G807" s="9" t="s">
        <v>28</v>
      </c>
      <c r="H807" s="17">
        <f>H809+H810+H811+H812</f>
        <v>0</v>
      </c>
      <c r="I807" s="22" t="s">
        <v>248</v>
      </c>
      <c r="J807" s="28"/>
      <c r="K807" s="27" t="s">
        <v>214</v>
      </c>
    </row>
    <row r="808" spans="1:11" s="4" customFormat="1" x14ac:dyDescent="0.25">
      <c r="A808" s="40"/>
      <c r="B808" s="43"/>
      <c r="C808" s="9" t="s">
        <v>21</v>
      </c>
      <c r="D808" s="17"/>
      <c r="E808" s="9" t="s">
        <v>21</v>
      </c>
      <c r="F808" s="17"/>
      <c r="G808" s="9" t="s">
        <v>21</v>
      </c>
      <c r="H808" s="17"/>
      <c r="I808" s="22"/>
      <c r="J808" s="28"/>
      <c r="K808" s="28"/>
    </row>
    <row r="809" spans="1:11" s="4" customFormat="1" x14ac:dyDescent="0.25">
      <c r="A809" s="40"/>
      <c r="B809" s="43"/>
      <c r="C809" s="12" t="s">
        <v>22</v>
      </c>
      <c r="D809" s="17">
        <v>0</v>
      </c>
      <c r="E809" s="12" t="s">
        <v>22</v>
      </c>
      <c r="F809" s="17">
        <v>0</v>
      </c>
      <c r="G809" s="12" t="s">
        <v>22</v>
      </c>
      <c r="H809" s="17">
        <v>0</v>
      </c>
      <c r="I809" s="22"/>
      <c r="J809" s="28"/>
      <c r="K809" s="28"/>
    </row>
    <row r="810" spans="1:11" s="4" customFormat="1" x14ac:dyDescent="0.25">
      <c r="A810" s="40"/>
      <c r="B810" s="43"/>
      <c r="C810" s="12" t="s">
        <v>23</v>
      </c>
      <c r="D810" s="17">
        <v>0</v>
      </c>
      <c r="E810" s="12" t="s">
        <v>23</v>
      </c>
      <c r="F810" s="17">
        <v>0</v>
      </c>
      <c r="G810" s="12" t="s">
        <v>23</v>
      </c>
      <c r="H810" s="17">
        <v>0</v>
      </c>
      <c r="I810" s="22"/>
      <c r="J810" s="28"/>
      <c r="K810" s="28"/>
    </row>
    <row r="811" spans="1:11" s="4" customFormat="1" x14ac:dyDescent="0.25">
      <c r="A811" s="40"/>
      <c r="B811" s="43"/>
      <c r="C811" s="12" t="s">
        <v>24</v>
      </c>
      <c r="D811" s="17">
        <f>283065.26/1000</f>
        <v>283.06526000000002</v>
      </c>
      <c r="E811" s="12" t="s">
        <v>24</v>
      </c>
      <c r="F811" s="17">
        <v>0</v>
      </c>
      <c r="G811" s="12" t="s">
        <v>24</v>
      </c>
      <c r="H811" s="17">
        <v>0</v>
      </c>
      <c r="I811" s="22"/>
      <c r="J811" s="28"/>
      <c r="K811" s="28"/>
    </row>
    <row r="812" spans="1:11" s="4" customFormat="1" x14ac:dyDescent="0.25">
      <c r="A812" s="41"/>
      <c r="B812" s="44"/>
      <c r="C812" s="12" t="s">
        <v>25</v>
      </c>
      <c r="D812" s="17">
        <v>0</v>
      </c>
      <c r="E812" s="12" t="s">
        <v>25</v>
      </c>
      <c r="F812" s="17">
        <v>0</v>
      </c>
      <c r="G812" s="12" t="s">
        <v>25</v>
      </c>
      <c r="H812" s="17">
        <v>0</v>
      </c>
      <c r="I812" s="22"/>
      <c r="J812" s="28"/>
      <c r="K812" s="29"/>
    </row>
    <row r="813" spans="1:11" s="4" customFormat="1" x14ac:dyDescent="0.25">
      <c r="A813" s="39" t="s">
        <v>287</v>
      </c>
      <c r="B813" s="42" t="s">
        <v>288</v>
      </c>
      <c r="C813" s="9" t="s">
        <v>28</v>
      </c>
      <c r="D813" s="17">
        <f>D815+D816+D817+D818</f>
        <v>414.84733</v>
      </c>
      <c r="E813" s="9" t="s">
        <v>28</v>
      </c>
      <c r="F813" s="17">
        <f>F815+F816+F817+F818</f>
        <v>0</v>
      </c>
      <c r="G813" s="9" t="s">
        <v>28</v>
      </c>
      <c r="H813" s="17">
        <f>H815+H816+H817+H818</f>
        <v>0</v>
      </c>
      <c r="I813" s="22" t="s">
        <v>248</v>
      </c>
      <c r="J813" s="28"/>
      <c r="K813" s="27" t="s">
        <v>214</v>
      </c>
    </row>
    <row r="814" spans="1:11" s="4" customFormat="1" x14ac:dyDescent="0.25">
      <c r="A814" s="40"/>
      <c r="B814" s="43"/>
      <c r="C814" s="9" t="s">
        <v>21</v>
      </c>
      <c r="D814" s="17"/>
      <c r="E814" s="9" t="s">
        <v>21</v>
      </c>
      <c r="F814" s="17"/>
      <c r="G814" s="9" t="s">
        <v>21</v>
      </c>
      <c r="H814" s="17"/>
      <c r="I814" s="22"/>
      <c r="J814" s="28"/>
      <c r="K814" s="28"/>
    </row>
    <row r="815" spans="1:11" s="4" customFormat="1" x14ac:dyDescent="0.25">
      <c r="A815" s="40"/>
      <c r="B815" s="43"/>
      <c r="C815" s="12" t="s">
        <v>22</v>
      </c>
      <c r="D815" s="17">
        <v>0</v>
      </c>
      <c r="E815" s="12" t="s">
        <v>22</v>
      </c>
      <c r="F815" s="17">
        <v>0</v>
      </c>
      <c r="G815" s="12" t="s">
        <v>22</v>
      </c>
      <c r="H815" s="17">
        <v>0</v>
      </c>
      <c r="I815" s="22"/>
      <c r="J815" s="28"/>
      <c r="K815" s="28"/>
    </row>
    <row r="816" spans="1:11" s="4" customFormat="1" x14ac:dyDescent="0.25">
      <c r="A816" s="40"/>
      <c r="B816" s="43"/>
      <c r="C816" s="12" t="s">
        <v>23</v>
      </c>
      <c r="D816" s="17">
        <v>0</v>
      </c>
      <c r="E816" s="12" t="s">
        <v>23</v>
      </c>
      <c r="F816" s="17">
        <v>0</v>
      </c>
      <c r="G816" s="12" t="s">
        <v>23</v>
      </c>
      <c r="H816" s="17">
        <v>0</v>
      </c>
      <c r="I816" s="22"/>
      <c r="J816" s="28"/>
      <c r="K816" s="28"/>
    </row>
    <row r="817" spans="1:11" s="4" customFormat="1" x14ac:dyDescent="0.25">
      <c r="A817" s="40"/>
      <c r="B817" s="43"/>
      <c r="C817" s="12" t="s">
        <v>24</v>
      </c>
      <c r="D817" s="17">
        <f>414847.33/1000</f>
        <v>414.84733</v>
      </c>
      <c r="E817" s="12" t="s">
        <v>24</v>
      </c>
      <c r="F817" s="17">
        <v>0</v>
      </c>
      <c r="G817" s="12" t="s">
        <v>24</v>
      </c>
      <c r="H817" s="17">
        <v>0</v>
      </c>
      <c r="I817" s="22"/>
      <c r="J817" s="28"/>
      <c r="K817" s="28"/>
    </row>
    <row r="818" spans="1:11" s="4" customFormat="1" x14ac:dyDescent="0.25">
      <c r="A818" s="41"/>
      <c r="B818" s="44"/>
      <c r="C818" s="12" t="s">
        <v>25</v>
      </c>
      <c r="D818" s="17">
        <v>0</v>
      </c>
      <c r="E818" s="12" t="s">
        <v>25</v>
      </c>
      <c r="F818" s="17">
        <v>0</v>
      </c>
      <c r="G818" s="12" t="s">
        <v>25</v>
      </c>
      <c r="H818" s="17">
        <v>0</v>
      </c>
      <c r="I818" s="22"/>
      <c r="J818" s="28"/>
      <c r="K818" s="29"/>
    </row>
    <row r="819" spans="1:11" s="4" customFormat="1" x14ac:dyDescent="0.25">
      <c r="A819" s="39" t="s">
        <v>289</v>
      </c>
      <c r="B819" s="42" t="s">
        <v>290</v>
      </c>
      <c r="C819" s="9" t="s">
        <v>28</v>
      </c>
      <c r="D819" s="17">
        <f>D821+D822+D823+D824</f>
        <v>130</v>
      </c>
      <c r="E819" s="9" t="s">
        <v>28</v>
      </c>
      <c r="F819" s="17">
        <f>F821+F822+F823+F824</f>
        <v>0</v>
      </c>
      <c r="G819" s="9" t="s">
        <v>28</v>
      </c>
      <c r="H819" s="17">
        <f>H821+H822+H823+H824</f>
        <v>0</v>
      </c>
      <c r="I819" s="22" t="s">
        <v>248</v>
      </c>
      <c r="J819" s="28"/>
      <c r="K819" s="27" t="s">
        <v>214</v>
      </c>
    </row>
    <row r="820" spans="1:11" s="4" customFormat="1" x14ac:dyDescent="0.25">
      <c r="A820" s="40"/>
      <c r="B820" s="43"/>
      <c r="C820" s="9" t="s">
        <v>21</v>
      </c>
      <c r="D820" s="17"/>
      <c r="E820" s="9" t="s">
        <v>21</v>
      </c>
      <c r="F820" s="17"/>
      <c r="G820" s="9" t="s">
        <v>21</v>
      </c>
      <c r="H820" s="17"/>
      <c r="I820" s="22"/>
      <c r="J820" s="28"/>
      <c r="K820" s="28"/>
    </row>
    <row r="821" spans="1:11" s="4" customFormat="1" x14ac:dyDescent="0.25">
      <c r="A821" s="40"/>
      <c r="B821" s="43"/>
      <c r="C821" s="12" t="s">
        <v>22</v>
      </c>
      <c r="D821" s="17">
        <v>0</v>
      </c>
      <c r="E821" s="12" t="s">
        <v>22</v>
      </c>
      <c r="F821" s="17">
        <v>0</v>
      </c>
      <c r="G821" s="12" t="s">
        <v>22</v>
      </c>
      <c r="H821" s="17">
        <v>0</v>
      </c>
      <c r="I821" s="22"/>
      <c r="J821" s="28"/>
      <c r="K821" s="28"/>
    </row>
    <row r="822" spans="1:11" s="4" customFormat="1" x14ac:dyDescent="0.25">
      <c r="A822" s="40"/>
      <c r="B822" s="43"/>
      <c r="C822" s="12" t="s">
        <v>23</v>
      </c>
      <c r="D822" s="17">
        <v>0</v>
      </c>
      <c r="E822" s="12" t="s">
        <v>23</v>
      </c>
      <c r="F822" s="17">
        <v>0</v>
      </c>
      <c r="G822" s="12" t="s">
        <v>23</v>
      </c>
      <c r="H822" s="17">
        <v>0</v>
      </c>
      <c r="I822" s="22"/>
      <c r="J822" s="28"/>
      <c r="K822" s="28"/>
    </row>
    <row r="823" spans="1:11" s="4" customFormat="1" x14ac:dyDescent="0.25">
      <c r="A823" s="40"/>
      <c r="B823" s="43"/>
      <c r="C823" s="12" t="s">
        <v>24</v>
      </c>
      <c r="D823" s="17">
        <f>130000/1000</f>
        <v>130</v>
      </c>
      <c r="E823" s="12" t="s">
        <v>24</v>
      </c>
      <c r="F823" s="17">
        <v>0</v>
      </c>
      <c r="G823" s="12" t="s">
        <v>24</v>
      </c>
      <c r="H823" s="17">
        <v>0</v>
      </c>
      <c r="I823" s="22"/>
      <c r="J823" s="28"/>
      <c r="K823" s="28"/>
    </row>
    <row r="824" spans="1:11" s="4" customFormat="1" x14ac:dyDescent="0.25">
      <c r="A824" s="41"/>
      <c r="B824" s="44"/>
      <c r="C824" s="12" t="s">
        <v>25</v>
      </c>
      <c r="D824" s="17">
        <v>0</v>
      </c>
      <c r="E824" s="12" t="s">
        <v>25</v>
      </c>
      <c r="F824" s="17">
        <v>0</v>
      </c>
      <c r="G824" s="12" t="s">
        <v>25</v>
      </c>
      <c r="H824" s="17">
        <v>0</v>
      </c>
      <c r="I824" s="22"/>
      <c r="J824" s="28"/>
      <c r="K824" s="29"/>
    </row>
    <row r="825" spans="1:11" s="4" customFormat="1" x14ac:dyDescent="0.25">
      <c r="A825" s="39" t="s">
        <v>291</v>
      </c>
      <c r="B825" s="42" t="s">
        <v>292</v>
      </c>
      <c r="C825" s="9" t="s">
        <v>28</v>
      </c>
      <c r="D825" s="17">
        <f>D827+D828+D829+D830</f>
        <v>552.25783000000001</v>
      </c>
      <c r="E825" s="9" t="s">
        <v>28</v>
      </c>
      <c r="F825" s="17">
        <f>F827+F828+F829+F830</f>
        <v>0</v>
      </c>
      <c r="G825" s="9" t="s">
        <v>28</v>
      </c>
      <c r="H825" s="17">
        <f>H827+H828+H829+H830</f>
        <v>0</v>
      </c>
      <c r="I825" s="22" t="s">
        <v>248</v>
      </c>
      <c r="J825" s="28"/>
      <c r="K825" s="27" t="s">
        <v>214</v>
      </c>
    </row>
    <row r="826" spans="1:11" s="4" customFormat="1" x14ac:dyDescent="0.25">
      <c r="A826" s="40"/>
      <c r="B826" s="43"/>
      <c r="C826" s="9" t="s">
        <v>21</v>
      </c>
      <c r="D826" s="17"/>
      <c r="E826" s="9" t="s">
        <v>21</v>
      </c>
      <c r="F826" s="17"/>
      <c r="G826" s="9" t="s">
        <v>21</v>
      </c>
      <c r="H826" s="17"/>
      <c r="I826" s="22"/>
      <c r="J826" s="28"/>
      <c r="K826" s="28"/>
    </row>
    <row r="827" spans="1:11" s="4" customFormat="1" x14ac:dyDescent="0.25">
      <c r="A827" s="40"/>
      <c r="B827" s="43"/>
      <c r="C827" s="12" t="s">
        <v>22</v>
      </c>
      <c r="D827" s="17">
        <v>0</v>
      </c>
      <c r="E827" s="12" t="s">
        <v>22</v>
      </c>
      <c r="F827" s="17">
        <v>0</v>
      </c>
      <c r="G827" s="12" t="s">
        <v>22</v>
      </c>
      <c r="H827" s="17">
        <v>0</v>
      </c>
      <c r="I827" s="22"/>
      <c r="J827" s="28"/>
      <c r="K827" s="28"/>
    </row>
    <row r="828" spans="1:11" s="4" customFormat="1" x14ac:dyDescent="0.25">
      <c r="A828" s="40"/>
      <c r="B828" s="43"/>
      <c r="C828" s="12" t="s">
        <v>23</v>
      </c>
      <c r="D828" s="17">
        <v>0</v>
      </c>
      <c r="E828" s="12" t="s">
        <v>23</v>
      </c>
      <c r="F828" s="17">
        <v>0</v>
      </c>
      <c r="G828" s="12" t="s">
        <v>23</v>
      </c>
      <c r="H828" s="17">
        <v>0</v>
      </c>
      <c r="I828" s="22"/>
      <c r="J828" s="28"/>
      <c r="K828" s="28"/>
    </row>
    <row r="829" spans="1:11" s="4" customFormat="1" x14ac:dyDescent="0.25">
      <c r="A829" s="40"/>
      <c r="B829" s="43"/>
      <c r="C829" s="12" t="s">
        <v>24</v>
      </c>
      <c r="D829" s="17">
        <f>552257.83/1000</f>
        <v>552.25783000000001</v>
      </c>
      <c r="E829" s="12" t="s">
        <v>24</v>
      </c>
      <c r="F829" s="17">
        <v>0</v>
      </c>
      <c r="G829" s="12" t="s">
        <v>24</v>
      </c>
      <c r="H829" s="17">
        <v>0</v>
      </c>
      <c r="I829" s="22"/>
      <c r="J829" s="28"/>
      <c r="K829" s="28"/>
    </row>
    <row r="830" spans="1:11" s="4" customFormat="1" x14ac:dyDescent="0.25">
      <c r="A830" s="41"/>
      <c r="B830" s="44"/>
      <c r="C830" s="12" t="s">
        <v>25</v>
      </c>
      <c r="D830" s="17">
        <v>0</v>
      </c>
      <c r="E830" s="12" t="s">
        <v>25</v>
      </c>
      <c r="F830" s="17">
        <v>0</v>
      </c>
      <c r="G830" s="12" t="s">
        <v>25</v>
      </c>
      <c r="H830" s="17">
        <v>0</v>
      </c>
      <c r="I830" s="22"/>
      <c r="J830" s="28"/>
      <c r="K830" s="29"/>
    </row>
    <row r="831" spans="1:11" s="4" customFormat="1" x14ac:dyDescent="0.25">
      <c r="A831" s="39" t="s">
        <v>293</v>
      </c>
      <c r="B831" s="42" t="s">
        <v>294</v>
      </c>
      <c r="C831" s="9" t="s">
        <v>28</v>
      </c>
      <c r="D831" s="17">
        <f>D833+D834+D835+D836</f>
        <v>3490.0000099999997</v>
      </c>
      <c r="E831" s="9" t="s">
        <v>28</v>
      </c>
      <c r="F831" s="17">
        <f>F833+F834+F835+F836</f>
        <v>0</v>
      </c>
      <c r="G831" s="9" t="s">
        <v>28</v>
      </c>
      <c r="H831" s="17">
        <f>H833+H834+H835+H836</f>
        <v>0</v>
      </c>
      <c r="I831" s="22" t="s">
        <v>248</v>
      </c>
      <c r="J831" s="28"/>
      <c r="K831" s="27" t="s">
        <v>214</v>
      </c>
    </row>
    <row r="832" spans="1:11" s="4" customFormat="1" x14ac:dyDescent="0.25">
      <c r="A832" s="40"/>
      <c r="B832" s="43"/>
      <c r="C832" s="9" t="s">
        <v>21</v>
      </c>
      <c r="D832" s="17"/>
      <c r="E832" s="9" t="s">
        <v>21</v>
      </c>
      <c r="F832" s="17"/>
      <c r="G832" s="9" t="s">
        <v>21</v>
      </c>
      <c r="H832" s="17"/>
      <c r="I832" s="22"/>
      <c r="J832" s="28"/>
      <c r="K832" s="28"/>
    </row>
    <row r="833" spans="1:11" s="4" customFormat="1" x14ac:dyDescent="0.25">
      <c r="A833" s="40"/>
      <c r="B833" s="43"/>
      <c r="C833" s="12" t="s">
        <v>22</v>
      </c>
      <c r="D833" s="17">
        <v>0</v>
      </c>
      <c r="E833" s="12" t="s">
        <v>22</v>
      </c>
      <c r="F833" s="17">
        <v>0</v>
      </c>
      <c r="G833" s="12" t="s">
        <v>22</v>
      </c>
      <c r="H833" s="17">
        <v>0</v>
      </c>
      <c r="I833" s="22"/>
      <c r="J833" s="28"/>
      <c r="K833" s="28"/>
    </row>
    <row r="834" spans="1:11" s="4" customFormat="1" x14ac:dyDescent="0.25">
      <c r="A834" s="40"/>
      <c r="B834" s="43"/>
      <c r="C834" s="12" t="s">
        <v>23</v>
      </c>
      <c r="D834" s="17">
        <v>0</v>
      </c>
      <c r="E834" s="12" t="s">
        <v>23</v>
      </c>
      <c r="F834" s="17">
        <v>0</v>
      </c>
      <c r="G834" s="12" t="s">
        <v>23</v>
      </c>
      <c r="H834" s="17">
        <v>0</v>
      </c>
      <c r="I834" s="22"/>
      <c r="J834" s="28"/>
      <c r="K834" s="28"/>
    </row>
    <row r="835" spans="1:11" s="4" customFormat="1" x14ac:dyDescent="0.25">
      <c r="A835" s="40"/>
      <c r="B835" s="43"/>
      <c r="C835" s="12" t="s">
        <v>24</v>
      </c>
      <c r="D835" s="17">
        <f>3490000.01/1000</f>
        <v>3490.0000099999997</v>
      </c>
      <c r="E835" s="12" t="s">
        <v>24</v>
      </c>
      <c r="F835" s="17">
        <v>0</v>
      </c>
      <c r="G835" s="12" t="s">
        <v>24</v>
      </c>
      <c r="H835" s="17">
        <v>0</v>
      </c>
      <c r="I835" s="22"/>
      <c r="J835" s="28"/>
      <c r="K835" s="28"/>
    </row>
    <row r="836" spans="1:11" s="4" customFormat="1" x14ac:dyDescent="0.25">
      <c r="A836" s="41"/>
      <c r="B836" s="44"/>
      <c r="C836" s="12" t="s">
        <v>25</v>
      </c>
      <c r="D836" s="17">
        <v>0</v>
      </c>
      <c r="E836" s="12" t="s">
        <v>25</v>
      </c>
      <c r="F836" s="17">
        <v>0</v>
      </c>
      <c r="G836" s="12" t="s">
        <v>25</v>
      </c>
      <c r="H836" s="17">
        <v>0</v>
      </c>
      <c r="I836" s="22"/>
      <c r="J836" s="28"/>
      <c r="K836" s="29"/>
    </row>
    <row r="837" spans="1:11" s="4" customFormat="1" x14ac:dyDescent="0.25">
      <c r="A837" s="39" t="s">
        <v>295</v>
      </c>
      <c r="B837" s="42" t="s">
        <v>296</v>
      </c>
      <c r="C837" s="9" t="s">
        <v>28</v>
      </c>
      <c r="D837" s="17">
        <f>D839+D840+D841+D842</f>
        <v>1554.5941699999998</v>
      </c>
      <c r="E837" s="9" t="s">
        <v>28</v>
      </c>
      <c r="F837" s="17">
        <f>F839+F840+F841+F842</f>
        <v>0</v>
      </c>
      <c r="G837" s="9" t="s">
        <v>28</v>
      </c>
      <c r="H837" s="17">
        <f>H839+H840+H841+H842</f>
        <v>0</v>
      </c>
      <c r="I837" s="22" t="s">
        <v>248</v>
      </c>
      <c r="J837" s="28"/>
      <c r="K837" s="27" t="s">
        <v>214</v>
      </c>
    </row>
    <row r="838" spans="1:11" s="4" customFormat="1" x14ac:dyDescent="0.25">
      <c r="A838" s="40"/>
      <c r="B838" s="43"/>
      <c r="C838" s="9" t="s">
        <v>21</v>
      </c>
      <c r="D838" s="17"/>
      <c r="E838" s="9" t="s">
        <v>21</v>
      </c>
      <c r="F838" s="17"/>
      <c r="G838" s="9" t="s">
        <v>21</v>
      </c>
      <c r="H838" s="17"/>
      <c r="I838" s="22"/>
      <c r="J838" s="28"/>
      <c r="K838" s="28"/>
    </row>
    <row r="839" spans="1:11" s="4" customFormat="1" x14ac:dyDescent="0.25">
      <c r="A839" s="40"/>
      <c r="B839" s="43"/>
      <c r="C839" s="12" t="s">
        <v>22</v>
      </c>
      <c r="D839" s="17">
        <v>0</v>
      </c>
      <c r="E839" s="12" t="s">
        <v>22</v>
      </c>
      <c r="F839" s="17">
        <v>0</v>
      </c>
      <c r="G839" s="12" t="s">
        <v>22</v>
      </c>
      <c r="H839" s="17">
        <v>0</v>
      </c>
      <c r="I839" s="22"/>
      <c r="J839" s="28"/>
      <c r="K839" s="28"/>
    </row>
    <row r="840" spans="1:11" s="4" customFormat="1" x14ac:dyDescent="0.25">
      <c r="A840" s="40"/>
      <c r="B840" s="43"/>
      <c r="C840" s="12" t="s">
        <v>23</v>
      </c>
      <c r="D840" s="17">
        <v>0</v>
      </c>
      <c r="E840" s="12" t="s">
        <v>23</v>
      </c>
      <c r="F840" s="17">
        <v>0</v>
      </c>
      <c r="G840" s="12" t="s">
        <v>23</v>
      </c>
      <c r="H840" s="17">
        <v>0</v>
      </c>
      <c r="I840" s="22"/>
      <c r="J840" s="28"/>
      <c r="K840" s="28"/>
    </row>
    <row r="841" spans="1:11" s="4" customFormat="1" x14ac:dyDescent="0.25">
      <c r="A841" s="40"/>
      <c r="B841" s="43"/>
      <c r="C841" s="12" t="s">
        <v>24</v>
      </c>
      <c r="D841" s="17">
        <f>1554594.17/1000</f>
        <v>1554.5941699999998</v>
      </c>
      <c r="E841" s="12" t="s">
        <v>24</v>
      </c>
      <c r="F841" s="17">
        <v>0</v>
      </c>
      <c r="G841" s="12" t="s">
        <v>24</v>
      </c>
      <c r="H841" s="17">
        <v>0</v>
      </c>
      <c r="I841" s="22"/>
      <c r="J841" s="28"/>
      <c r="K841" s="28"/>
    </row>
    <row r="842" spans="1:11" s="4" customFormat="1" x14ac:dyDescent="0.25">
      <c r="A842" s="41"/>
      <c r="B842" s="44"/>
      <c r="C842" s="12" t="s">
        <v>25</v>
      </c>
      <c r="D842" s="17">
        <v>0</v>
      </c>
      <c r="E842" s="12" t="s">
        <v>25</v>
      </c>
      <c r="F842" s="17">
        <v>0</v>
      </c>
      <c r="G842" s="12" t="s">
        <v>25</v>
      </c>
      <c r="H842" s="17">
        <v>0</v>
      </c>
      <c r="I842" s="22"/>
      <c r="J842" s="28"/>
      <c r="K842" s="29"/>
    </row>
    <row r="843" spans="1:11" s="4" customFormat="1" x14ac:dyDescent="0.25">
      <c r="A843" s="39" t="s">
        <v>297</v>
      </c>
      <c r="B843" s="42" t="s">
        <v>298</v>
      </c>
      <c r="C843" s="9" t="s">
        <v>28</v>
      </c>
      <c r="D843" s="17">
        <f>D845+D846+D847+D848</f>
        <v>200</v>
      </c>
      <c r="E843" s="9" t="s">
        <v>28</v>
      </c>
      <c r="F843" s="17">
        <f>F845+F846+F847+F848</f>
        <v>0</v>
      </c>
      <c r="G843" s="9" t="s">
        <v>28</v>
      </c>
      <c r="H843" s="17">
        <f>H845+H846+H847+H848</f>
        <v>0</v>
      </c>
      <c r="I843" s="22" t="s">
        <v>248</v>
      </c>
      <c r="J843" s="28"/>
      <c r="K843" s="27" t="s">
        <v>214</v>
      </c>
    </row>
    <row r="844" spans="1:11" s="4" customFormat="1" x14ac:dyDescent="0.25">
      <c r="A844" s="40"/>
      <c r="B844" s="43"/>
      <c r="C844" s="9" t="s">
        <v>21</v>
      </c>
      <c r="D844" s="17"/>
      <c r="E844" s="9" t="s">
        <v>21</v>
      </c>
      <c r="F844" s="17"/>
      <c r="G844" s="9" t="s">
        <v>21</v>
      </c>
      <c r="H844" s="17"/>
      <c r="I844" s="22"/>
      <c r="J844" s="28"/>
      <c r="K844" s="28"/>
    </row>
    <row r="845" spans="1:11" s="4" customFormat="1" x14ac:dyDescent="0.25">
      <c r="A845" s="40"/>
      <c r="B845" s="43"/>
      <c r="C845" s="12" t="s">
        <v>22</v>
      </c>
      <c r="D845" s="17">
        <v>0</v>
      </c>
      <c r="E845" s="12" t="s">
        <v>22</v>
      </c>
      <c r="F845" s="17">
        <v>0</v>
      </c>
      <c r="G845" s="12" t="s">
        <v>22</v>
      </c>
      <c r="H845" s="17">
        <v>0</v>
      </c>
      <c r="I845" s="22"/>
      <c r="J845" s="28"/>
      <c r="K845" s="28"/>
    </row>
    <row r="846" spans="1:11" s="4" customFormat="1" x14ac:dyDescent="0.25">
      <c r="A846" s="40"/>
      <c r="B846" s="43"/>
      <c r="C846" s="12" t="s">
        <v>23</v>
      </c>
      <c r="D846" s="17">
        <v>0</v>
      </c>
      <c r="E846" s="12" t="s">
        <v>23</v>
      </c>
      <c r="F846" s="17">
        <v>0</v>
      </c>
      <c r="G846" s="12" t="s">
        <v>23</v>
      </c>
      <c r="H846" s="17">
        <v>0</v>
      </c>
      <c r="I846" s="22"/>
      <c r="J846" s="28"/>
      <c r="K846" s="28"/>
    </row>
    <row r="847" spans="1:11" s="4" customFormat="1" x14ac:dyDescent="0.25">
      <c r="A847" s="40"/>
      <c r="B847" s="43"/>
      <c r="C847" s="12" t="s">
        <v>24</v>
      </c>
      <c r="D847" s="17">
        <f>200000/1000</f>
        <v>200</v>
      </c>
      <c r="E847" s="12" t="s">
        <v>24</v>
      </c>
      <c r="F847" s="17">
        <v>0</v>
      </c>
      <c r="G847" s="12" t="s">
        <v>24</v>
      </c>
      <c r="H847" s="17">
        <v>0</v>
      </c>
      <c r="I847" s="22"/>
      <c r="J847" s="28"/>
      <c r="K847" s="28"/>
    </row>
    <row r="848" spans="1:11" s="4" customFormat="1" x14ac:dyDescent="0.25">
      <c r="A848" s="41"/>
      <c r="B848" s="44"/>
      <c r="C848" s="12" t="s">
        <v>25</v>
      </c>
      <c r="D848" s="17">
        <v>0</v>
      </c>
      <c r="E848" s="12" t="s">
        <v>25</v>
      </c>
      <c r="F848" s="17">
        <v>0</v>
      </c>
      <c r="G848" s="12" t="s">
        <v>25</v>
      </c>
      <c r="H848" s="17">
        <v>0</v>
      </c>
      <c r="I848" s="22"/>
      <c r="J848" s="28"/>
      <c r="K848" s="29"/>
    </row>
    <row r="849" spans="1:11" s="4" customFormat="1" x14ac:dyDescent="0.25">
      <c r="A849" s="39" t="s">
        <v>299</v>
      </c>
      <c r="B849" s="42" t="s">
        <v>300</v>
      </c>
      <c r="C849" s="9" t="s">
        <v>28</v>
      </c>
      <c r="D849" s="17">
        <f>D851+D852+D853+D854</f>
        <v>3728.1</v>
      </c>
      <c r="E849" s="9" t="s">
        <v>28</v>
      </c>
      <c r="F849" s="17">
        <f>F851+F852+F853+F854</f>
        <v>0</v>
      </c>
      <c r="G849" s="9" t="s">
        <v>28</v>
      </c>
      <c r="H849" s="17">
        <f>H851+H852+H853+H854</f>
        <v>0</v>
      </c>
      <c r="I849" s="22" t="s">
        <v>248</v>
      </c>
      <c r="J849" s="28"/>
      <c r="K849" s="27" t="s">
        <v>214</v>
      </c>
    </row>
    <row r="850" spans="1:11" s="4" customFormat="1" x14ac:dyDescent="0.25">
      <c r="A850" s="40"/>
      <c r="B850" s="43"/>
      <c r="C850" s="9" t="s">
        <v>21</v>
      </c>
      <c r="D850" s="17"/>
      <c r="E850" s="9" t="s">
        <v>21</v>
      </c>
      <c r="F850" s="17"/>
      <c r="G850" s="9" t="s">
        <v>21</v>
      </c>
      <c r="H850" s="17"/>
      <c r="I850" s="22"/>
      <c r="J850" s="28"/>
      <c r="K850" s="28"/>
    </row>
    <row r="851" spans="1:11" s="4" customFormat="1" x14ac:dyDescent="0.25">
      <c r="A851" s="40"/>
      <c r="B851" s="43"/>
      <c r="C851" s="12" t="s">
        <v>22</v>
      </c>
      <c r="D851" s="17">
        <v>0</v>
      </c>
      <c r="E851" s="12" t="s">
        <v>22</v>
      </c>
      <c r="F851" s="17">
        <v>0</v>
      </c>
      <c r="G851" s="12" t="s">
        <v>22</v>
      </c>
      <c r="H851" s="17">
        <v>0</v>
      </c>
      <c r="I851" s="22"/>
      <c r="J851" s="28"/>
      <c r="K851" s="28"/>
    </row>
    <row r="852" spans="1:11" s="4" customFormat="1" x14ac:dyDescent="0.25">
      <c r="A852" s="40"/>
      <c r="B852" s="43"/>
      <c r="C852" s="12" t="s">
        <v>23</v>
      </c>
      <c r="D852" s="17">
        <v>0</v>
      </c>
      <c r="E852" s="12" t="s">
        <v>23</v>
      </c>
      <c r="F852" s="17">
        <v>0</v>
      </c>
      <c r="G852" s="12" t="s">
        <v>23</v>
      </c>
      <c r="H852" s="17">
        <v>0</v>
      </c>
      <c r="I852" s="22"/>
      <c r="J852" s="28"/>
      <c r="K852" s="28"/>
    </row>
    <row r="853" spans="1:11" s="4" customFormat="1" x14ac:dyDescent="0.25">
      <c r="A853" s="40"/>
      <c r="B853" s="43"/>
      <c r="C853" s="12" t="s">
        <v>24</v>
      </c>
      <c r="D853" s="17">
        <f>3728100/1000</f>
        <v>3728.1</v>
      </c>
      <c r="E853" s="12" t="s">
        <v>24</v>
      </c>
      <c r="F853" s="17">
        <v>0</v>
      </c>
      <c r="G853" s="12" t="s">
        <v>24</v>
      </c>
      <c r="H853" s="17">
        <v>0</v>
      </c>
      <c r="I853" s="22"/>
      <c r="J853" s="28"/>
      <c r="K853" s="28"/>
    </row>
    <row r="854" spans="1:11" s="4" customFormat="1" x14ac:dyDescent="0.25">
      <c r="A854" s="41"/>
      <c r="B854" s="44"/>
      <c r="C854" s="12" t="s">
        <v>25</v>
      </c>
      <c r="D854" s="17">
        <v>0</v>
      </c>
      <c r="E854" s="12" t="s">
        <v>25</v>
      </c>
      <c r="F854" s="17">
        <v>0</v>
      </c>
      <c r="G854" s="12" t="s">
        <v>25</v>
      </c>
      <c r="H854" s="17">
        <v>0</v>
      </c>
      <c r="I854" s="22"/>
      <c r="J854" s="28"/>
      <c r="K854" s="29"/>
    </row>
    <row r="855" spans="1:11" s="4" customFormat="1" x14ac:dyDescent="0.25">
      <c r="A855" s="39" t="s">
        <v>301</v>
      </c>
      <c r="B855" s="42" t="s">
        <v>302</v>
      </c>
      <c r="C855" s="9" t="s">
        <v>28</v>
      </c>
      <c r="D855" s="17">
        <f>D857+D858+D859+D860</f>
        <v>543.02814999999998</v>
      </c>
      <c r="E855" s="9" t="s">
        <v>28</v>
      </c>
      <c r="F855" s="17">
        <f>F857+F858+F859+F860</f>
        <v>0</v>
      </c>
      <c r="G855" s="9" t="s">
        <v>28</v>
      </c>
      <c r="H855" s="17">
        <f>H857+H858+H859+H860</f>
        <v>0</v>
      </c>
      <c r="I855" s="22" t="s">
        <v>248</v>
      </c>
      <c r="J855" s="28"/>
      <c r="K855" s="27" t="s">
        <v>214</v>
      </c>
    </row>
    <row r="856" spans="1:11" s="4" customFormat="1" x14ac:dyDescent="0.25">
      <c r="A856" s="40"/>
      <c r="B856" s="43"/>
      <c r="C856" s="9" t="s">
        <v>21</v>
      </c>
      <c r="D856" s="17"/>
      <c r="E856" s="9" t="s">
        <v>21</v>
      </c>
      <c r="F856" s="17"/>
      <c r="G856" s="9" t="s">
        <v>21</v>
      </c>
      <c r="H856" s="17"/>
      <c r="I856" s="22"/>
      <c r="J856" s="28"/>
      <c r="K856" s="28"/>
    </row>
    <row r="857" spans="1:11" s="4" customFormat="1" x14ac:dyDescent="0.25">
      <c r="A857" s="40"/>
      <c r="B857" s="43"/>
      <c r="C857" s="12" t="s">
        <v>22</v>
      </c>
      <c r="D857" s="17">
        <v>0</v>
      </c>
      <c r="E857" s="12" t="s">
        <v>22</v>
      </c>
      <c r="F857" s="17">
        <v>0</v>
      </c>
      <c r="G857" s="12" t="s">
        <v>22</v>
      </c>
      <c r="H857" s="17">
        <v>0</v>
      </c>
      <c r="I857" s="22"/>
      <c r="J857" s="28"/>
      <c r="K857" s="28"/>
    </row>
    <row r="858" spans="1:11" s="4" customFormat="1" x14ac:dyDescent="0.25">
      <c r="A858" s="40"/>
      <c r="B858" s="43"/>
      <c r="C858" s="12" t="s">
        <v>23</v>
      </c>
      <c r="D858" s="17">
        <v>0</v>
      </c>
      <c r="E858" s="12" t="s">
        <v>23</v>
      </c>
      <c r="F858" s="17">
        <v>0</v>
      </c>
      <c r="G858" s="12" t="s">
        <v>23</v>
      </c>
      <c r="H858" s="17">
        <v>0</v>
      </c>
      <c r="I858" s="22"/>
      <c r="J858" s="28"/>
      <c r="K858" s="28"/>
    </row>
    <row r="859" spans="1:11" s="4" customFormat="1" x14ac:dyDescent="0.25">
      <c r="A859" s="40"/>
      <c r="B859" s="43"/>
      <c r="C859" s="12" t="s">
        <v>24</v>
      </c>
      <c r="D859" s="17">
        <f>543028.15/1000</f>
        <v>543.02814999999998</v>
      </c>
      <c r="E859" s="12" t="s">
        <v>24</v>
      </c>
      <c r="F859" s="17">
        <v>0</v>
      </c>
      <c r="G859" s="12" t="s">
        <v>24</v>
      </c>
      <c r="H859" s="17">
        <v>0</v>
      </c>
      <c r="I859" s="22"/>
      <c r="J859" s="28"/>
      <c r="K859" s="28"/>
    </row>
    <row r="860" spans="1:11" s="4" customFormat="1" x14ac:dyDescent="0.25">
      <c r="A860" s="41"/>
      <c r="B860" s="44"/>
      <c r="C860" s="12" t="s">
        <v>25</v>
      </c>
      <c r="D860" s="17">
        <v>0</v>
      </c>
      <c r="E860" s="12" t="s">
        <v>25</v>
      </c>
      <c r="F860" s="17">
        <v>0</v>
      </c>
      <c r="G860" s="12" t="s">
        <v>25</v>
      </c>
      <c r="H860" s="17">
        <v>0</v>
      </c>
      <c r="I860" s="22"/>
      <c r="J860" s="28"/>
      <c r="K860" s="29"/>
    </row>
    <row r="861" spans="1:11" s="4" customFormat="1" x14ac:dyDescent="0.25">
      <c r="A861" s="39" t="s">
        <v>303</v>
      </c>
      <c r="B861" s="42" t="s">
        <v>304</v>
      </c>
      <c r="C861" s="9" t="s">
        <v>28</v>
      </c>
      <c r="D861" s="17">
        <f>D863+D864+D865+D866</f>
        <v>476.63319000000001</v>
      </c>
      <c r="E861" s="9" t="s">
        <v>28</v>
      </c>
      <c r="F861" s="17">
        <f>F863+F864+F865+F866</f>
        <v>0</v>
      </c>
      <c r="G861" s="9" t="s">
        <v>28</v>
      </c>
      <c r="H861" s="17">
        <f>H863+H864+H865+H866</f>
        <v>0</v>
      </c>
      <c r="I861" s="22" t="s">
        <v>248</v>
      </c>
      <c r="J861" s="28"/>
      <c r="K861" s="27" t="s">
        <v>214</v>
      </c>
    </row>
    <row r="862" spans="1:11" s="4" customFormat="1" x14ac:dyDescent="0.25">
      <c r="A862" s="40"/>
      <c r="B862" s="43"/>
      <c r="C862" s="9" t="s">
        <v>21</v>
      </c>
      <c r="D862" s="17"/>
      <c r="E862" s="9" t="s">
        <v>21</v>
      </c>
      <c r="F862" s="17"/>
      <c r="G862" s="9" t="s">
        <v>21</v>
      </c>
      <c r="H862" s="17"/>
      <c r="I862" s="22"/>
      <c r="J862" s="28"/>
      <c r="K862" s="28"/>
    </row>
    <row r="863" spans="1:11" s="4" customFormat="1" x14ac:dyDescent="0.25">
      <c r="A863" s="40"/>
      <c r="B863" s="43"/>
      <c r="C863" s="12" t="s">
        <v>22</v>
      </c>
      <c r="D863" s="17">
        <v>0</v>
      </c>
      <c r="E863" s="12" t="s">
        <v>22</v>
      </c>
      <c r="F863" s="17">
        <v>0</v>
      </c>
      <c r="G863" s="12" t="s">
        <v>22</v>
      </c>
      <c r="H863" s="17">
        <v>0</v>
      </c>
      <c r="I863" s="22"/>
      <c r="J863" s="28"/>
      <c r="K863" s="28"/>
    </row>
    <row r="864" spans="1:11" s="4" customFormat="1" x14ac:dyDescent="0.25">
      <c r="A864" s="40"/>
      <c r="B864" s="43"/>
      <c r="C864" s="12" t="s">
        <v>23</v>
      </c>
      <c r="D864" s="17">
        <v>0</v>
      </c>
      <c r="E864" s="12" t="s">
        <v>23</v>
      </c>
      <c r="F864" s="17">
        <v>0</v>
      </c>
      <c r="G864" s="12" t="s">
        <v>23</v>
      </c>
      <c r="H864" s="17">
        <v>0</v>
      </c>
      <c r="I864" s="22"/>
      <c r="J864" s="28"/>
      <c r="K864" s="28"/>
    </row>
    <row r="865" spans="1:11" s="4" customFormat="1" x14ac:dyDescent="0.25">
      <c r="A865" s="40"/>
      <c r="B865" s="43"/>
      <c r="C865" s="12" t="s">
        <v>24</v>
      </c>
      <c r="D865" s="17">
        <f>476633.19/1000</f>
        <v>476.63319000000001</v>
      </c>
      <c r="E865" s="12" t="s">
        <v>24</v>
      </c>
      <c r="F865" s="17">
        <v>0</v>
      </c>
      <c r="G865" s="12" t="s">
        <v>24</v>
      </c>
      <c r="H865" s="17">
        <v>0</v>
      </c>
      <c r="I865" s="22"/>
      <c r="J865" s="28"/>
      <c r="K865" s="28"/>
    </row>
    <row r="866" spans="1:11" s="4" customFormat="1" x14ac:dyDescent="0.25">
      <c r="A866" s="41"/>
      <c r="B866" s="44"/>
      <c r="C866" s="12" t="s">
        <v>25</v>
      </c>
      <c r="D866" s="17">
        <v>0</v>
      </c>
      <c r="E866" s="12" t="s">
        <v>25</v>
      </c>
      <c r="F866" s="17">
        <v>0</v>
      </c>
      <c r="G866" s="12" t="s">
        <v>25</v>
      </c>
      <c r="H866" s="17">
        <v>0</v>
      </c>
      <c r="I866" s="22"/>
      <c r="J866" s="28"/>
      <c r="K866" s="29"/>
    </row>
    <row r="867" spans="1:11" s="4" customFormat="1" x14ac:dyDescent="0.25">
      <c r="A867" s="39" t="s">
        <v>305</v>
      </c>
      <c r="B867" s="42" t="s">
        <v>306</v>
      </c>
      <c r="C867" s="9" t="s">
        <v>28</v>
      </c>
      <c r="D867" s="17">
        <f>D869+D870+D871+D872</f>
        <v>598.73446000000001</v>
      </c>
      <c r="E867" s="9" t="s">
        <v>28</v>
      </c>
      <c r="F867" s="17">
        <f>F869+F870+F871+F872</f>
        <v>0</v>
      </c>
      <c r="G867" s="9" t="s">
        <v>28</v>
      </c>
      <c r="H867" s="17">
        <f>H869+H870+H871+H872</f>
        <v>0</v>
      </c>
      <c r="I867" s="22" t="s">
        <v>248</v>
      </c>
      <c r="J867" s="28"/>
      <c r="K867" s="27" t="s">
        <v>214</v>
      </c>
    </row>
    <row r="868" spans="1:11" s="4" customFormat="1" x14ac:dyDescent="0.25">
      <c r="A868" s="40"/>
      <c r="B868" s="43"/>
      <c r="C868" s="9" t="s">
        <v>21</v>
      </c>
      <c r="D868" s="17"/>
      <c r="E868" s="9" t="s">
        <v>21</v>
      </c>
      <c r="F868" s="17"/>
      <c r="G868" s="9" t="s">
        <v>21</v>
      </c>
      <c r="H868" s="17"/>
      <c r="I868" s="22"/>
      <c r="J868" s="28"/>
      <c r="K868" s="28"/>
    </row>
    <row r="869" spans="1:11" s="4" customFormat="1" x14ac:dyDescent="0.25">
      <c r="A869" s="40"/>
      <c r="B869" s="43"/>
      <c r="C869" s="12" t="s">
        <v>22</v>
      </c>
      <c r="D869" s="17">
        <v>0</v>
      </c>
      <c r="E869" s="12" t="s">
        <v>22</v>
      </c>
      <c r="F869" s="17">
        <v>0</v>
      </c>
      <c r="G869" s="12" t="s">
        <v>22</v>
      </c>
      <c r="H869" s="17">
        <v>0</v>
      </c>
      <c r="I869" s="22"/>
      <c r="J869" s="28"/>
      <c r="K869" s="28"/>
    </row>
    <row r="870" spans="1:11" s="4" customFormat="1" x14ac:dyDescent="0.25">
      <c r="A870" s="40"/>
      <c r="B870" s="43"/>
      <c r="C870" s="12" t="s">
        <v>23</v>
      </c>
      <c r="D870" s="17">
        <v>0</v>
      </c>
      <c r="E870" s="12" t="s">
        <v>23</v>
      </c>
      <c r="F870" s="17">
        <v>0</v>
      </c>
      <c r="G870" s="12" t="s">
        <v>23</v>
      </c>
      <c r="H870" s="17">
        <v>0</v>
      </c>
      <c r="I870" s="22"/>
      <c r="J870" s="28"/>
      <c r="K870" s="28"/>
    </row>
    <row r="871" spans="1:11" s="4" customFormat="1" x14ac:dyDescent="0.25">
      <c r="A871" s="40"/>
      <c r="B871" s="43"/>
      <c r="C871" s="12" t="s">
        <v>24</v>
      </c>
      <c r="D871" s="17">
        <f>598734.46/1000</f>
        <v>598.73446000000001</v>
      </c>
      <c r="E871" s="12" t="s">
        <v>24</v>
      </c>
      <c r="F871" s="17">
        <v>0</v>
      </c>
      <c r="G871" s="12" t="s">
        <v>24</v>
      </c>
      <c r="H871" s="17">
        <v>0</v>
      </c>
      <c r="I871" s="22"/>
      <c r="J871" s="28"/>
      <c r="K871" s="28"/>
    </row>
    <row r="872" spans="1:11" s="4" customFormat="1" x14ac:dyDescent="0.25">
      <c r="A872" s="41"/>
      <c r="B872" s="44"/>
      <c r="C872" s="12" t="s">
        <v>25</v>
      </c>
      <c r="D872" s="17">
        <v>0</v>
      </c>
      <c r="E872" s="12" t="s">
        <v>25</v>
      </c>
      <c r="F872" s="17">
        <v>0</v>
      </c>
      <c r="G872" s="12" t="s">
        <v>25</v>
      </c>
      <c r="H872" s="17">
        <v>0</v>
      </c>
      <c r="I872" s="22"/>
      <c r="J872" s="28"/>
      <c r="K872" s="29"/>
    </row>
    <row r="873" spans="1:11" s="4" customFormat="1" x14ac:dyDescent="0.25">
      <c r="A873" s="39" t="s">
        <v>307</v>
      </c>
      <c r="B873" s="42" t="s">
        <v>308</v>
      </c>
      <c r="C873" s="9" t="s">
        <v>28</v>
      </c>
      <c r="D873" s="17">
        <f>D875+D876+D877+D878</f>
        <v>165.41300000000001</v>
      </c>
      <c r="E873" s="9" t="s">
        <v>28</v>
      </c>
      <c r="F873" s="17">
        <f>F875+F876+F877+F878</f>
        <v>0</v>
      </c>
      <c r="G873" s="9" t="s">
        <v>28</v>
      </c>
      <c r="H873" s="17">
        <f>H875+H876+H877+H878</f>
        <v>0</v>
      </c>
      <c r="I873" s="22" t="s">
        <v>248</v>
      </c>
      <c r="J873" s="28"/>
      <c r="K873" s="27" t="s">
        <v>214</v>
      </c>
    </row>
    <row r="874" spans="1:11" s="4" customFormat="1" x14ac:dyDescent="0.25">
      <c r="A874" s="40"/>
      <c r="B874" s="43"/>
      <c r="C874" s="9" t="s">
        <v>21</v>
      </c>
      <c r="D874" s="17"/>
      <c r="E874" s="9" t="s">
        <v>21</v>
      </c>
      <c r="F874" s="17"/>
      <c r="G874" s="9" t="s">
        <v>21</v>
      </c>
      <c r="H874" s="17"/>
      <c r="I874" s="22"/>
      <c r="J874" s="28"/>
      <c r="K874" s="28"/>
    </row>
    <row r="875" spans="1:11" s="4" customFormat="1" x14ac:dyDescent="0.25">
      <c r="A875" s="40"/>
      <c r="B875" s="43"/>
      <c r="C875" s="12" t="s">
        <v>22</v>
      </c>
      <c r="D875" s="17">
        <v>0</v>
      </c>
      <c r="E875" s="12" t="s">
        <v>22</v>
      </c>
      <c r="F875" s="17">
        <v>0</v>
      </c>
      <c r="G875" s="12" t="s">
        <v>22</v>
      </c>
      <c r="H875" s="17">
        <v>0</v>
      </c>
      <c r="I875" s="22"/>
      <c r="J875" s="28"/>
      <c r="K875" s="28"/>
    </row>
    <row r="876" spans="1:11" s="4" customFormat="1" x14ac:dyDescent="0.25">
      <c r="A876" s="40"/>
      <c r="B876" s="43"/>
      <c r="C876" s="12" t="s">
        <v>23</v>
      </c>
      <c r="D876" s="17">
        <v>0</v>
      </c>
      <c r="E876" s="12" t="s">
        <v>23</v>
      </c>
      <c r="F876" s="17">
        <v>0</v>
      </c>
      <c r="G876" s="12" t="s">
        <v>23</v>
      </c>
      <c r="H876" s="17">
        <v>0</v>
      </c>
      <c r="I876" s="22"/>
      <c r="J876" s="28"/>
      <c r="K876" s="28"/>
    </row>
    <row r="877" spans="1:11" s="4" customFormat="1" x14ac:dyDescent="0.25">
      <c r="A877" s="40"/>
      <c r="B877" s="43"/>
      <c r="C877" s="12" t="s">
        <v>24</v>
      </c>
      <c r="D877" s="17">
        <f>165413/1000</f>
        <v>165.41300000000001</v>
      </c>
      <c r="E877" s="12" t="s">
        <v>24</v>
      </c>
      <c r="F877" s="17">
        <v>0</v>
      </c>
      <c r="G877" s="12" t="s">
        <v>24</v>
      </c>
      <c r="H877" s="17">
        <v>0</v>
      </c>
      <c r="I877" s="22"/>
      <c r="J877" s="28"/>
      <c r="K877" s="28"/>
    </row>
    <row r="878" spans="1:11" s="4" customFormat="1" x14ac:dyDescent="0.25">
      <c r="A878" s="41"/>
      <c r="B878" s="44"/>
      <c r="C878" s="12" t="s">
        <v>25</v>
      </c>
      <c r="D878" s="17">
        <v>0</v>
      </c>
      <c r="E878" s="12" t="s">
        <v>25</v>
      </c>
      <c r="F878" s="17">
        <v>0</v>
      </c>
      <c r="G878" s="12" t="s">
        <v>25</v>
      </c>
      <c r="H878" s="17">
        <v>0</v>
      </c>
      <c r="I878" s="22"/>
      <c r="J878" s="28"/>
      <c r="K878" s="29"/>
    </row>
    <row r="879" spans="1:11" s="4" customFormat="1" x14ac:dyDescent="0.25">
      <c r="A879" s="39" t="s">
        <v>309</v>
      </c>
      <c r="B879" s="42" t="s">
        <v>310</v>
      </c>
      <c r="C879" s="9" t="s">
        <v>28</v>
      </c>
      <c r="D879" s="17">
        <f>D881+D882+D883+D884</f>
        <v>328.15138999999999</v>
      </c>
      <c r="E879" s="9" t="s">
        <v>28</v>
      </c>
      <c r="F879" s="17">
        <f>F881+F882+F883+F884</f>
        <v>0</v>
      </c>
      <c r="G879" s="9" t="s">
        <v>28</v>
      </c>
      <c r="H879" s="17">
        <f>H881+H882+H883+H884</f>
        <v>0</v>
      </c>
      <c r="I879" s="22" t="s">
        <v>248</v>
      </c>
      <c r="J879" s="28"/>
      <c r="K879" s="27" t="s">
        <v>214</v>
      </c>
    </row>
    <row r="880" spans="1:11" s="4" customFormat="1" x14ac:dyDescent="0.25">
      <c r="A880" s="40"/>
      <c r="B880" s="43"/>
      <c r="C880" s="9" t="s">
        <v>21</v>
      </c>
      <c r="D880" s="17"/>
      <c r="E880" s="9" t="s">
        <v>21</v>
      </c>
      <c r="F880" s="17"/>
      <c r="G880" s="9" t="s">
        <v>21</v>
      </c>
      <c r="H880" s="17"/>
      <c r="I880" s="22"/>
      <c r="J880" s="28"/>
      <c r="K880" s="28"/>
    </row>
    <row r="881" spans="1:11" s="4" customFormat="1" x14ac:dyDescent="0.25">
      <c r="A881" s="40"/>
      <c r="B881" s="43"/>
      <c r="C881" s="12" t="s">
        <v>22</v>
      </c>
      <c r="D881" s="17">
        <v>0</v>
      </c>
      <c r="E881" s="12" t="s">
        <v>22</v>
      </c>
      <c r="F881" s="17">
        <v>0</v>
      </c>
      <c r="G881" s="12" t="s">
        <v>22</v>
      </c>
      <c r="H881" s="17">
        <v>0</v>
      </c>
      <c r="I881" s="22"/>
      <c r="J881" s="28"/>
      <c r="K881" s="28"/>
    </row>
    <row r="882" spans="1:11" s="4" customFormat="1" x14ac:dyDescent="0.25">
      <c r="A882" s="40"/>
      <c r="B882" s="43"/>
      <c r="C882" s="12" t="s">
        <v>23</v>
      </c>
      <c r="D882" s="17">
        <v>0</v>
      </c>
      <c r="E882" s="12" t="s">
        <v>23</v>
      </c>
      <c r="F882" s="17">
        <v>0</v>
      </c>
      <c r="G882" s="12" t="s">
        <v>23</v>
      </c>
      <c r="H882" s="17">
        <v>0</v>
      </c>
      <c r="I882" s="22"/>
      <c r="J882" s="28"/>
      <c r="K882" s="28"/>
    </row>
    <row r="883" spans="1:11" s="4" customFormat="1" x14ac:dyDescent="0.25">
      <c r="A883" s="40"/>
      <c r="B883" s="43"/>
      <c r="C883" s="12" t="s">
        <v>24</v>
      </c>
      <c r="D883" s="17">
        <f>328151.39/1000</f>
        <v>328.15138999999999</v>
      </c>
      <c r="E883" s="12" t="s">
        <v>24</v>
      </c>
      <c r="F883" s="17">
        <v>0</v>
      </c>
      <c r="G883" s="12" t="s">
        <v>24</v>
      </c>
      <c r="H883" s="17">
        <v>0</v>
      </c>
      <c r="I883" s="22"/>
      <c r="J883" s="28"/>
      <c r="K883" s="28"/>
    </row>
    <row r="884" spans="1:11" s="4" customFormat="1" x14ac:dyDescent="0.25">
      <c r="A884" s="41"/>
      <c r="B884" s="44"/>
      <c r="C884" s="12" t="s">
        <v>25</v>
      </c>
      <c r="D884" s="17">
        <v>0</v>
      </c>
      <c r="E884" s="12" t="s">
        <v>25</v>
      </c>
      <c r="F884" s="17">
        <v>0</v>
      </c>
      <c r="G884" s="12" t="s">
        <v>25</v>
      </c>
      <c r="H884" s="17">
        <v>0</v>
      </c>
      <c r="I884" s="22"/>
      <c r="J884" s="28"/>
      <c r="K884" s="29"/>
    </row>
    <row r="885" spans="1:11" s="4" customFormat="1" x14ac:dyDescent="0.25">
      <c r="A885" s="39" t="s">
        <v>311</v>
      </c>
      <c r="B885" s="42" t="s">
        <v>312</v>
      </c>
      <c r="C885" s="9" t="s">
        <v>28</v>
      </c>
      <c r="D885" s="17">
        <f>D887+D888+D889+D890</f>
        <v>49750</v>
      </c>
      <c r="E885" s="9" t="s">
        <v>28</v>
      </c>
      <c r="F885" s="17">
        <f>F887+F888+F889+F890</f>
        <v>0</v>
      </c>
      <c r="G885" s="9" t="s">
        <v>28</v>
      </c>
      <c r="H885" s="17">
        <f>H887+H888+H889+H890</f>
        <v>0</v>
      </c>
      <c r="I885" s="22" t="s">
        <v>248</v>
      </c>
      <c r="J885" s="28"/>
      <c r="K885" s="27" t="s">
        <v>214</v>
      </c>
    </row>
    <row r="886" spans="1:11" s="4" customFormat="1" x14ac:dyDescent="0.25">
      <c r="A886" s="40"/>
      <c r="B886" s="43"/>
      <c r="C886" s="9" t="s">
        <v>21</v>
      </c>
      <c r="D886" s="17"/>
      <c r="E886" s="9" t="s">
        <v>21</v>
      </c>
      <c r="F886" s="17"/>
      <c r="G886" s="9" t="s">
        <v>21</v>
      </c>
      <c r="H886" s="17"/>
      <c r="I886" s="22"/>
      <c r="J886" s="28"/>
      <c r="K886" s="28"/>
    </row>
    <row r="887" spans="1:11" s="4" customFormat="1" x14ac:dyDescent="0.25">
      <c r="A887" s="40"/>
      <c r="B887" s="43"/>
      <c r="C887" s="12" t="s">
        <v>22</v>
      </c>
      <c r="D887" s="17">
        <v>0</v>
      </c>
      <c r="E887" s="12" t="s">
        <v>22</v>
      </c>
      <c r="F887" s="17">
        <v>0</v>
      </c>
      <c r="G887" s="12" t="s">
        <v>22</v>
      </c>
      <c r="H887" s="17">
        <v>0</v>
      </c>
      <c r="I887" s="22"/>
      <c r="J887" s="28"/>
      <c r="K887" s="28"/>
    </row>
    <row r="888" spans="1:11" s="4" customFormat="1" x14ac:dyDescent="0.25">
      <c r="A888" s="40"/>
      <c r="B888" s="43"/>
      <c r="C888" s="12" t="s">
        <v>23</v>
      </c>
      <c r="D888" s="17">
        <v>0</v>
      </c>
      <c r="E888" s="12" t="s">
        <v>23</v>
      </c>
      <c r="F888" s="17">
        <v>0</v>
      </c>
      <c r="G888" s="12" t="s">
        <v>23</v>
      </c>
      <c r="H888" s="17">
        <v>0</v>
      </c>
      <c r="I888" s="22"/>
      <c r="J888" s="28"/>
      <c r="K888" s="28"/>
    </row>
    <row r="889" spans="1:11" s="4" customFormat="1" x14ac:dyDescent="0.25">
      <c r="A889" s="40"/>
      <c r="B889" s="43"/>
      <c r="C889" s="12" t="s">
        <v>24</v>
      </c>
      <c r="D889" s="17">
        <f>49750000/1000</f>
        <v>49750</v>
      </c>
      <c r="E889" s="12" t="s">
        <v>24</v>
      </c>
      <c r="F889" s="17">
        <v>0</v>
      </c>
      <c r="G889" s="12" t="s">
        <v>24</v>
      </c>
      <c r="H889" s="17">
        <v>0</v>
      </c>
      <c r="I889" s="22"/>
      <c r="J889" s="28"/>
      <c r="K889" s="28"/>
    </row>
    <row r="890" spans="1:11" s="4" customFormat="1" x14ac:dyDescent="0.25">
      <c r="A890" s="41"/>
      <c r="B890" s="44"/>
      <c r="C890" s="12" t="s">
        <v>25</v>
      </c>
      <c r="D890" s="17">
        <v>0</v>
      </c>
      <c r="E890" s="12" t="s">
        <v>25</v>
      </c>
      <c r="F890" s="17">
        <v>0</v>
      </c>
      <c r="G890" s="12" t="s">
        <v>25</v>
      </c>
      <c r="H890" s="17">
        <v>0</v>
      </c>
      <c r="I890" s="22"/>
      <c r="J890" s="28"/>
      <c r="K890" s="29"/>
    </row>
    <row r="891" spans="1:11" s="4" customFormat="1" x14ac:dyDescent="0.25">
      <c r="A891" s="39" t="s">
        <v>313</v>
      </c>
      <c r="B891" s="42" t="s">
        <v>314</v>
      </c>
      <c r="C891" s="9" t="s">
        <v>28</v>
      </c>
      <c r="D891" s="17">
        <f>D893+D894+D895+D896</f>
        <v>16298.41323</v>
      </c>
      <c r="E891" s="9" t="s">
        <v>28</v>
      </c>
      <c r="F891" s="17">
        <f>F893+F894+F895+F896</f>
        <v>0</v>
      </c>
      <c r="G891" s="9" t="s">
        <v>28</v>
      </c>
      <c r="H891" s="17">
        <f>H893+H894+H895+H896</f>
        <v>0</v>
      </c>
      <c r="I891" s="22" t="s">
        <v>248</v>
      </c>
      <c r="J891" s="28"/>
      <c r="K891" s="27" t="s">
        <v>214</v>
      </c>
    </row>
    <row r="892" spans="1:11" s="4" customFormat="1" x14ac:dyDescent="0.25">
      <c r="A892" s="40"/>
      <c r="B892" s="43"/>
      <c r="C892" s="9" t="s">
        <v>21</v>
      </c>
      <c r="D892" s="17"/>
      <c r="E892" s="9" t="s">
        <v>21</v>
      </c>
      <c r="F892" s="17"/>
      <c r="G892" s="9" t="s">
        <v>21</v>
      </c>
      <c r="H892" s="17"/>
      <c r="I892" s="22"/>
      <c r="J892" s="28"/>
      <c r="K892" s="28"/>
    </row>
    <row r="893" spans="1:11" s="4" customFormat="1" x14ac:dyDescent="0.25">
      <c r="A893" s="40"/>
      <c r="B893" s="43"/>
      <c r="C893" s="12" t="s">
        <v>22</v>
      </c>
      <c r="D893" s="17">
        <v>0</v>
      </c>
      <c r="E893" s="12" t="s">
        <v>22</v>
      </c>
      <c r="F893" s="17">
        <v>0</v>
      </c>
      <c r="G893" s="12" t="s">
        <v>22</v>
      </c>
      <c r="H893" s="17">
        <v>0</v>
      </c>
      <c r="I893" s="22"/>
      <c r="J893" s="28"/>
      <c r="K893" s="28"/>
    </row>
    <row r="894" spans="1:11" s="4" customFormat="1" x14ac:dyDescent="0.25">
      <c r="A894" s="40"/>
      <c r="B894" s="43"/>
      <c r="C894" s="12" t="s">
        <v>23</v>
      </c>
      <c r="D894" s="17">
        <v>0</v>
      </c>
      <c r="E894" s="12" t="s">
        <v>23</v>
      </c>
      <c r="F894" s="17">
        <v>0</v>
      </c>
      <c r="G894" s="12" t="s">
        <v>23</v>
      </c>
      <c r="H894" s="17">
        <v>0</v>
      </c>
      <c r="I894" s="22"/>
      <c r="J894" s="28"/>
      <c r="K894" s="28"/>
    </row>
    <row r="895" spans="1:11" s="4" customFormat="1" x14ac:dyDescent="0.25">
      <c r="A895" s="40"/>
      <c r="B895" s="43"/>
      <c r="C895" s="12" t="s">
        <v>24</v>
      </c>
      <c r="D895" s="17">
        <f>16298413.23/1000</f>
        <v>16298.41323</v>
      </c>
      <c r="E895" s="12" t="s">
        <v>24</v>
      </c>
      <c r="F895" s="17">
        <v>0</v>
      </c>
      <c r="G895" s="12" t="s">
        <v>24</v>
      </c>
      <c r="H895" s="17">
        <v>0</v>
      </c>
      <c r="I895" s="22"/>
      <c r="J895" s="28"/>
      <c r="K895" s="28"/>
    </row>
    <row r="896" spans="1:11" s="4" customFormat="1" x14ac:dyDescent="0.25">
      <c r="A896" s="41"/>
      <c r="B896" s="44"/>
      <c r="C896" s="12" t="s">
        <v>25</v>
      </c>
      <c r="D896" s="17">
        <v>0</v>
      </c>
      <c r="E896" s="12" t="s">
        <v>25</v>
      </c>
      <c r="F896" s="17">
        <v>0</v>
      </c>
      <c r="G896" s="12" t="s">
        <v>25</v>
      </c>
      <c r="H896" s="17">
        <v>0</v>
      </c>
      <c r="I896" s="22"/>
      <c r="J896" s="28"/>
      <c r="K896" s="29"/>
    </row>
    <row r="897" spans="1:11" s="4" customFormat="1" x14ac:dyDescent="0.25">
      <c r="A897" s="39" t="s">
        <v>315</v>
      </c>
      <c r="B897" s="42" t="s">
        <v>316</v>
      </c>
      <c r="C897" s="9" t="s">
        <v>28</v>
      </c>
      <c r="D897" s="17">
        <f>D899+D900+D901+D902</f>
        <v>295.12895000000003</v>
      </c>
      <c r="E897" s="9" t="s">
        <v>28</v>
      </c>
      <c r="F897" s="17">
        <f>F899+F900+F901+F902</f>
        <v>0</v>
      </c>
      <c r="G897" s="9" t="s">
        <v>28</v>
      </c>
      <c r="H897" s="17">
        <f>H899+H900+H901+H902</f>
        <v>0</v>
      </c>
      <c r="I897" s="22" t="s">
        <v>104</v>
      </c>
      <c r="J897" s="28"/>
      <c r="K897" s="27" t="s">
        <v>214</v>
      </c>
    </row>
    <row r="898" spans="1:11" s="4" customFormat="1" x14ac:dyDescent="0.25">
      <c r="A898" s="40"/>
      <c r="B898" s="43"/>
      <c r="C898" s="9" t="s">
        <v>21</v>
      </c>
      <c r="D898" s="17"/>
      <c r="E898" s="9" t="s">
        <v>21</v>
      </c>
      <c r="F898" s="17"/>
      <c r="G898" s="9" t="s">
        <v>21</v>
      </c>
      <c r="H898" s="17"/>
      <c r="I898" s="22"/>
      <c r="J898" s="28"/>
      <c r="K898" s="28"/>
    </row>
    <row r="899" spans="1:11" s="4" customFormat="1" x14ac:dyDescent="0.25">
      <c r="A899" s="40"/>
      <c r="B899" s="43"/>
      <c r="C899" s="12" t="s">
        <v>22</v>
      </c>
      <c r="D899" s="17">
        <v>0</v>
      </c>
      <c r="E899" s="12" t="s">
        <v>22</v>
      </c>
      <c r="F899" s="17">
        <v>0</v>
      </c>
      <c r="G899" s="12" t="s">
        <v>22</v>
      </c>
      <c r="H899" s="17">
        <v>0</v>
      </c>
      <c r="I899" s="22"/>
      <c r="J899" s="28"/>
      <c r="K899" s="28"/>
    </row>
    <row r="900" spans="1:11" s="4" customFormat="1" x14ac:dyDescent="0.25">
      <c r="A900" s="40"/>
      <c r="B900" s="43"/>
      <c r="C900" s="12" t="s">
        <v>23</v>
      </c>
      <c r="D900" s="17">
        <v>0</v>
      </c>
      <c r="E900" s="12" t="s">
        <v>23</v>
      </c>
      <c r="F900" s="17">
        <v>0</v>
      </c>
      <c r="G900" s="12" t="s">
        <v>23</v>
      </c>
      <c r="H900" s="17">
        <v>0</v>
      </c>
      <c r="I900" s="22"/>
      <c r="J900" s="28"/>
      <c r="K900" s="28"/>
    </row>
    <row r="901" spans="1:11" s="4" customFormat="1" x14ac:dyDescent="0.25">
      <c r="A901" s="40"/>
      <c r="B901" s="43"/>
      <c r="C901" s="12" t="s">
        <v>24</v>
      </c>
      <c r="D901" s="17">
        <f>295128.95/1000</f>
        <v>295.12895000000003</v>
      </c>
      <c r="E901" s="12" t="s">
        <v>24</v>
      </c>
      <c r="F901" s="17">
        <v>0</v>
      </c>
      <c r="G901" s="12" t="s">
        <v>24</v>
      </c>
      <c r="H901" s="17">
        <v>0</v>
      </c>
      <c r="I901" s="22"/>
      <c r="J901" s="28"/>
      <c r="K901" s="28"/>
    </row>
    <row r="902" spans="1:11" s="4" customFormat="1" x14ac:dyDescent="0.25">
      <c r="A902" s="41"/>
      <c r="B902" s="44"/>
      <c r="C902" s="12" t="s">
        <v>25</v>
      </c>
      <c r="D902" s="17">
        <v>0</v>
      </c>
      <c r="E902" s="12" t="s">
        <v>25</v>
      </c>
      <c r="F902" s="17">
        <v>0</v>
      </c>
      <c r="G902" s="12" t="s">
        <v>25</v>
      </c>
      <c r="H902" s="17">
        <v>0</v>
      </c>
      <c r="I902" s="22"/>
      <c r="J902" s="28"/>
      <c r="K902" s="29"/>
    </row>
    <row r="903" spans="1:11" s="4" customFormat="1" x14ac:dyDescent="0.25">
      <c r="A903" s="39" t="s">
        <v>317</v>
      </c>
      <c r="B903" s="42" t="s">
        <v>318</v>
      </c>
      <c r="C903" s="9" t="s">
        <v>28</v>
      </c>
      <c r="D903" s="17">
        <f>D905+D906+D907+D908</f>
        <v>122.38623</v>
      </c>
      <c r="E903" s="9" t="s">
        <v>28</v>
      </c>
      <c r="F903" s="17">
        <f>F905+F906+F907+F908</f>
        <v>0</v>
      </c>
      <c r="G903" s="9" t="s">
        <v>28</v>
      </c>
      <c r="H903" s="17">
        <f>H905+H906+H907+H908</f>
        <v>0</v>
      </c>
      <c r="I903" s="22" t="s">
        <v>104</v>
      </c>
      <c r="J903" s="28"/>
      <c r="K903" s="27" t="s">
        <v>214</v>
      </c>
    </row>
    <row r="904" spans="1:11" s="4" customFormat="1" x14ac:dyDescent="0.25">
      <c r="A904" s="40"/>
      <c r="B904" s="43"/>
      <c r="C904" s="9" t="s">
        <v>21</v>
      </c>
      <c r="D904" s="17"/>
      <c r="E904" s="9" t="s">
        <v>21</v>
      </c>
      <c r="F904" s="17"/>
      <c r="G904" s="9" t="s">
        <v>21</v>
      </c>
      <c r="H904" s="17"/>
      <c r="I904" s="22"/>
      <c r="J904" s="28"/>
      <c r="K904" s="28"/>
    </row>
    <row r="905" spans="1:11" s="4" customFormat="1" x14ac:dyDescent="0.25">
      <c r="A905" s="40"/>
      <c r="B905" s="43"/>
      <c r="C905" s="12" t="s">
        <v>22</v>
      </c>
      <c r="D905" s="17">
        <v>0</v>
      </c>
      <c r="E905" s="12" t="s">
        <v>22</v>
      </c>
      <c r="F905" s="17">
        <v>0</v>
      </c>
      <c r="G905" s="12" t="s">
        <v>22</v>
      </c>
      <c r="H905" s="17">
        <v>0</v>
      </c>
      <c r="I905" s="22"/>
      <c r="J905" s="28"/>
      <c r="K905" s="28"/>
    </row>
    <row r="906" spans="1:11" s="4" customFormat="1" x14ac:dyDescent="0.25">
      <c r="A906" s="40"/>
      <c r="B906" s="43"/>
      <c r="C906" s="12" t="s">
        <v>23</v>
      </c>
      <c r="D906" s="17">
        <v>0</v>
      </c>
      <c r="E906" s="12" t="s">
        <v>23</v>
      </c>
      <c r="F906" s="17">
        <v>0</v>
      </c>
      <c r="G906" s="12" t="s">
        <v>23</v>
      </c>
      <c r="H906" s="17">
        <v>0</v>
      </c>
      <c r="I906" s="22"/>
      <c r="J906" s="28"/>
      <c r="K906" s="28"/>
    </row>
    <row r="907" spans="1:11" s="4" customFormat="1" x14ac:dyDescent="0.25">
      <c r="A907" s="40"/>
      <c r="B907" s="43"/>
      <c r="C907" s="12" t="s">
        <v>24</v>
      </c>
      <c r="D907" s="17">
        <f>122386.23/1000</f>
        <v>122.38623</v>
      </c>
      <c r="E907" s="12" t="s">
        <v>24</v>
      </c>
      <c r="F907" s="17">
        <v>0</v>
      </c>
      <c r="G907" s="12" t="s">
        <v>24</v>
      </c>
      <c r="H907" s="17">
        <v>0</v>
      </c>
      <c r="I907" s="22"/>
      <c r="J907" s="28"/>
      <c r="K907" s="28"/>
    </row>
    <row r="908" spans="1:11" s="4" customFormat="1" x14ac:dyDescent="0.25">
      <c r="A908" s="41"/>
      <c r="B908" s="44"/>
      <c r="C908" s="12" t="s">
        <v>25</v>
      </c>
      <c r="D908" s="17">
        <v>0</v>
      </c>
      <c r="E908" s="12" t="s">
        <v>25</v>
      </c>
      <c r="F908" s="17">
        <v>0</v>
      </c>
      <c r="G908" s="12" t="s">
        <v>25</v>
      </c>
      <c r="H908" s="17">
        <v>0</v>
      </c>
      <c r="I908" s="22"/>
      <c r="J908" s="28"/>
      <c r="K908" s="29"/>
    </row>
    <row r="909" spans="1:11" s="4" customFormat="1" x14ac:dyDescent="0.25">
      <c r="A909" s="39" t="s">
        <v>319</v>
      </c>
      <c r="B909" s="42" t="s">
        <v>320</v>
      </c>
      <c r="C909" s="9" t="s">
        <v>28</v>
      </c>
      <c r="D909" s="17">
        <f>D911+D912+D913+D914</f>
        <v>178.11251000000001</v>
      </c>
      <c r="E909" s="9" t="s">
        <v>28</v>
      </c>
      <c r="F909" s="17">
        <f>F911+F912+F913+F914</f>
        <v>0</v>
      </c>
      <c r="G909" s="9" t="s">
        <v>28</v>
      </c>
      <c r="H909" s="17">
        <f>H911+H912+H913+H914</f>
        <v>0</v>
      </c>
      <c r="I909" s="22" t="s">
        <v>104</v>
      </c>
      <c r="J909" s="28"/>
      <c r="K909" s="27" t="s">
        <v>214</v>
      </c>
    </row>
    <row r="910" spans="1:11" s="4" customFormat="1" x14ac:dyDescent="0.25">
      <c r="A910" s="40"/>
      <c r="B910" s="43"/>
      <c r="C910" s="9" t="s">
        <v>21</v>
      </c>
      <c r="D910" s="17"/>
      <c r="E910" s="9" t="s">
        <v>21</v>
      </c>
      <c r="F910" s="17"/>
      <c r="G910" s="9" t="s">
        <v>21</v>
      </c>
      <c r="H910" s="17"/>
      <c r="I910" s="22"/>
      <c r="J910" s="28"/>
      <c r="K910" s="28"/>
    </row>
    <row r="911" spans="1:11" s="4" customFormat="1" x14ac:dyDescent="0.25">
      <c r="A911" s="40"/>
      <c r="B911" s="43"/>
      <c r="C911" s="12" t="s">
        <v>22</v>
      </c>
      <c r="D911" s="17">
        <v>0</v>
      </c>
      <c r="E911" s="12" t="s">
        <v>22</v>
      </c>
      <c r="F911" s="17">
        <v>0</v>
      </c>
      <c r="G911" s="12" t="s">
        <v>22</v>
      </c>
      <c r="H911" s="17">
        <v>0</v>
      </c>
      <c r="I911" s="22"/>
      <c r="J911" s="28"/>
      <c r="K911" s="28"/>
    </row>
    <row r="912" spans="1:11" s="4" customFormat="1" x14ac:dyDescent="0.25">
      <c r="A912" s="40"/>
      <c r="B912" s="43"/>
      <c r="C912" s="12" t="s">
        <v>23</v>
      </c>
      <c r="D912" s="17">
        <v>0</v>
      </c>
      <c r="E912" s="12" t="s">
        <v>23</v>
      </c>
      <c r="F912" s="17">
        <v>0</v>
      </c>
      <c r="G912" s="12" t="s">
        <v>23</v>
      </c>
      <c r="H912" s="17">
        <v>0</v>
      </c>
      <c r="I912" s="22"/>
      <c r="J912" s="28"/>
      <c r="K912" s="28"/>
    </row>
    <row r="913" spans="1:11" s="4" customFormat="1" x14ac:dyDescent="0.25">
      <c r="A913" s="40"/>
      <c r="B913" s="43"/>
      <c r="C913" s="12" t="s">
        <v>24</v>
      </c>
      <c r="D913" s="17">
        <f>178112.51/1000</f>
        <v>178.11251000000001</v>
      </c>
      <c r="E913" s="12" t="s">
        <v>24</v>
      </c>
      <c r="F913" s="17">
        <v>0</v>
      </c>
      <c r="G913" s="12" t="s">
        <v>24</v>
      </c>
      <c r="H913" s="17">
        <v>0</v>
      </c>
      <c r="I913" s="22"/>
      <c r="J913" s="28"/>
      <c r="K913" s="28"/>
    </row>
    <row r="914" spans="1:11" s="4" customFormat="1" x14ac:dyDescent="0.25">
      <c r="A914" s="41"/>
      <c r="B914" s="44"/>
      <c r="C914" s="12" t="s">
        <v>25</v>
      </c>
      <c r="D914" s="17">
        <v>0</v>
      </c>
      <c r="E914" s="12" t="s">
        <v>25</v>
      </c>
      <c r="F914" s="17">
        <v>0</v>
      </c>
      <c r="G914" s="12" t="s">
        <v>25</v>
      </c>
      <c r="H914" s="17">
        <v>0</v>
      </c>
      <c r="I914" s="22"/>
      <c r="J914" s="28"/>
      <c r="K914" s="29"/>
    </row>
    <row r="915" spans="1:11" s="4" customFormat="1" x14ac:dyDescent="0.25">
      <c r="A915" s="39" t="s">
        <v>321</v>
      </c>
      <c r="B915" s="42" t="s">
        <v>322</v>
      </c>
      <c r="C915" s="9" t="s">
        <v>28</v>
      </c>
      <c r="D915" s="17">
        <f>D917+D918+D919+D920</f>
        <v>56.758160000000004</v>
      </c>
      <c r="E915" s="9" t="s">
        <v>28</v>
      </c>
      <c r="F915" s="17">
        <f>F917+F918+F919+F920</f>
        <v>0</v>
      </c>
      <c r="G915" s="9" t="s">
        <v>28</v>
      </c>
      <c r="H915" s="17">
        <f>H917+H918+H919+H920</f>
        <v>0</v>
      </c>
      <c r="I915" s="22" t="s">
        <v>104</v>
      </c>
      <c r="J915" s="28"/>
      <c r="K915" s="27" t="s">
        <v>214</v>
      </c>
    </row>
    <row r="916" spans="1:11" s="4" customFormat="1" x14ac:dyDescent="0.25">
      <c r="A916" s="40"/>
      <c r="B916" s="43"/>
      <c r="C916" s="9" t="s">
        <v>21</v>
      </c>
      <c r="D916" s="17"/>
      <c r="E916" s="9" t="s">
        <v>21</v>
      </c>
      <c r="F916" s="17"/>
      <c r="G916" s="9" t="s">
        <v>21</v>
      </c>
      <c r="H916" s="17"/>
      <c r="I916" s="22"/>
      <c r="J916" s="28"/>
      <c r="K916" s="28"/>
    </row>
    <row r="917" spans="1:11" s="4" customFormat="1" x14ac:dyDescent="0.25">
      <c r="A917" s="40"/>
      <c r="B917" s="43"/>
      <c r="C917" s="12" t="s">
        <v>22</v>
      </c>
      <c r="D917" s="17">
        <v>0</v>
      </c>
      <c r="E917" s="12" t="s">
        <v>22</v>
      </c>
      <c r="F917" s="17">
        <v>0</v>
      </c>
      <c r="G917" s="12" t="s">
        <v>22</v>
      </c>
      <c r="H917" s="17">
        <v>0</v>
      </c>
      <c r="I917" s="22"/>
      <c r="J917" s="28"/>
      <c r="K917" s="28"/>
    </row>
    <row r="918" spans="1:11" s="4" customFormat="1" x14ac:dyDescent="0.25">
      <c r="A918" s="40"/>
      <c r="B918" s="43"/>
      <c r="C918" s="12" t="s">
        <v>23</v>
      </c>
      <c r="D918" s="17">
        <v>0</v>
      </c>
      <c r="E918" s="12" t="s">
        <v>23</v>
      </c>
      <c r="F918" s="17">
        <v>0</v>
      </c>
      <c r="G918" s="12" t="s">
        <v>23</v>
      </c>
      <c r="H918" s="17">
        <v>0</v>
      </c>
      <c r="I918" s="22"/>
      <c r="J918" s="28"/>
      <c r="K918" s="28"/>
    </row>
    <row r="919" spans="1:11" s="4" customFormat="1" x14ac:dyDescent="0.25">
      <c r="A919" s="40"/>
      <c r="B919" s="43"/>
      <c r="C919" s="12" t="s">
        <v>24</v>
      </c>
      <c r="D919" s="17">
        <f>56758.16/1000</f>
        <v>56.758160000000004</v>
      </c>
      <c r="E919" s="12" t="s">
        <v>24</v>
      </c>
      <c r="F919" s="17">
        <v>0</v>
      </c>
      <c r="G919" s="12" t="s">
        <v>24</v>
      </c>
      <c r="H919" s="17">
        <v>0</v>
      </c>
      <c r="I919" s="22"/>
      <c r="J919" s="28"/>
      <c r="K919" s="28"/>
    </row>
    <row r="920" spans="1:11" s="4" customFormat="1" x14ac:dyDescent="0.25">
      <c r="A920" s="41"/>
      <c r="B920" s="44"/>
      <c r="C920" s="12" t="s">
        <v>25</v>
      </c>
      <c r="D920" s="17">
        <v>0</v>
      </c>
      <c r="E920" s="12" t="s">
        <v>25</v>
      </c>
      <c r="F920" s="17">
        <v>0</v>
      </c>
      <c r="G920" s="12" t="s">
        <v>25</v>
      </c>
      <c r="H920" s="17">
        <v>0</v>
      </c>
      <c r="I920" s="22"/>
      <c r="J920" s="28"/>
      <c r="K920" s="29"/>
    </row>
    <row r="921" spans="1:11" s="4" customFormat="1" x14ac:dyDescent="0.25">
      <c r="A921" s="39" t="s">
        <v>323</v>
      </c>
      <c r="B921" s="42" t="s">
        <v>324</v>
      </c>
      <c r="C921" s="9" t="s">
        <v>28</v>
      </c>
      <c r="D921" s="17">
        <f>D923+D924+D925+D926</f>
        <v>358.09391999999997</v>
      </c>
      <c r="E921" s="9" t="s">
        <v>28</v>
      </c>
      <c r="F921" s="17">
        <f>F923+F924+F925+F926</f>
        <v>0</v>
      </c>
      <c r="G921" s="9" t="s">
        <v>28</v>
      </c>
      <c r="H921" s="17">
        <f>H923+H924+H925+H926</f>
        <v>0</v>
      </c>
      <c r="I921" s="22" t="s">
        <v>104</v>
      </c>
      <c r="J921" s="28"/>
      <c r="K921" s="27" t="s">
        <v>214</v>
      </c>
    </row>
    <row r="922" spans="1:11" s="4" customFormat="1" x14ac:dyDescent="0.25">
      <c r="A922" s="40"/>
      <c r="B922" s="43"/>
      <c r="C922" s="9" t="s">
        <v>21</v>
      </c>
      <c r="D922" s="17"/>
      <c r="E922" s="9" t="s">
        <v>21</v>
      </c>
      <c r="F922" s="17"/>
      <c r="G922" s="9" t="s">
        <v>21</v>
      </c>
      <c r="H922" s="17"/>
      <c r="I922" s="22"/>
      <c r="J922" s="28"/>
      <c r="K922" s="28"/>
    </row>
    <row r="923" spans="1:11" s="4" customFormat="1" x14ac:dyDescent="0.25">
      <c r="A923" s="40"/>
      <c r="B923" s="43"/>
      <c r="C923" s="12" t="s">
        <v>22</v>
      </c>
      <c r="D923" s="17">
        <v>0</v>
      </c>
      <c r="E923" s="12" t="s">
        <v>22</v>
      </c>
      <c r="F923" s="17">
        <v>0</v>
      </c>
      <c r="G923" s="12" t="s">
        <v>22</v>
      </c>
      <c r="H923" s="17">
        <v>0</v>
      </c>
      <c r="I923" s="22"/>
      <c r="J923" s="28"/>
      <c r="K923" s="28"/>
    </row>
    <row r="924" spans="1:11" s="4" customFormat="1" x14ac:dyDescent="0.25">
      <c r="A924" s="40"/>
      <c r="B924" s="43"/>
      <c r="C924" s="12" t="s">
        <v>23</v>
      </c>
      <c r="D924" s="17">
        <v>0</v>
      </c>
      <c r="E924" s="12" t="s">
        <v>23</v>
      </c>
      <c r="F924" s="17">
        <v>0</v>
      </c>
      <c r="G924" s="12" t="s">
        <v>23</v>
      </c>
      <c r="H924" s="17">
        <v>0</v>
      </c>
      <c r="I924" s="22"/>
      <c r="J924" s="28"/>
      <c r="K924" s="28"/>
    </row>
    <row r="925" spans="1:11" s="4" customFormat="1" x14ac:dyDescent="0.25">
      <c r="A925" s="40"/>
      <c r="B925" s="43"/>
      <c r="C925" s="12" t="s">
        <v>24</v>
      </c>
      <c r="D925" s="17">
        <f>358093.92/1000</f>
        <v>358.09391999999997</v>
      </c>
      <c r="E925" s="12" t="s">
        <v>24</v>
      </c>
      <c r="F925" s="17">
        <v>0</v>
      </c>
      <c r="G925" s="12" t="s">
        <v>24</v>
      </c>
      <c r="H925" s="17">
        <v>0</v>
      </c>
      <c r="I925" s="22"/>
      <c r="J925" s="28"/>
      <c r="K925" s="28"/>
    </row>
    <row r="926" spans="1:11" s="4" customFormat="1" x14ac:dyDescent="0.25">
      <c r="A926" s="41"/>
      <c r="B926" s="44"/>
      <c r="C926" s="12" t="s">
        <v>25</v>
      </c>
      <c r="D926" s="17">
        <v>0</v>
      </c>
      <c r="E926" s="12" t="s">
        <v>25</v>
      </c>
      <c r="F926" s="17">
        <v>0</v>
      </c>
      <c r="G926" s="12" t="s">
        <v>25</v>
      </c>
      <c r="H926" s="17">
        <v>0</v>
      </c>
      <c r="I926" s="22"/>
      <c r="J926" s="28"/>
      <c r="K926" s="29"/>
    </row>
    <row r="927" spans="1:11" s="4" customFormat="1" x14ac:dyDescent="0.25">
      <c r="A927" s="39" t="s">
        <v>325</v>
      </c>
      <c r="B927" s="42" t="s">
        <v>326</v>
      </c>
      <c r="C927" s="9" t="s">
        <v>28</v>
      </c>
      <c r="D927" s="17">
        <f>D929+D930+D931+D932</f>
        <v>68.590940000000003</v>
      </c>
      <c r="E927" s="9" t="s">
        <v>28</v>
      </c>
      <c r="F927" s="17">
        <f>F929+F930+F931+F932</f>
        <v>0</v>
      </c>
      <c r="G927" s="9" t="s">
        <v>28</v>
      </c>
      <c r="H927" s="17">
        <f>H929+H930+H931+H932</f>
        <v>0</v>
      </c>
      <c r="I927" s="22" t="s">
        <v>104</v>
      </c>
      <c r="J927" s="28"/>
      <c r="K927" s="27" t="s">
        <v>214</v>
      </c>
    </row>
    <row r="928" spans="1:11" s="4" customFormat="1" x14ac:dyDescent="0.25">
      <c r="A928" s="40"/>
      <c r="B928" s="43"/>
      <c r="C928" s="9" t="s">
        <v>21</v>
      </c>
      <c r="D928" s="17"/>
      <c r="E928" s="9" t="s">
        <v>21</v>
      </c>
      <c r="F928" s="17"/>
      <c r="G928" s="9" t="s">
        <v>21</v>
      </c>
      <c r="H928" s="17"/>
      <c r="I928" s="22"/>
      <c r="J928" s="28"/>
      <c r="K928" s="28"/>
    </row>
    <row r="929" spans="1:11" s="4" customFormat="1" x14ac:dyDescent="0.25">
      <c r="A929" s="40"/>
      <c r="B929" s="43"/>
      <c r="C929" s="12" t="s">
        <v>22</v>
      </c>
      <c r="D929" s="17">
        <v>0</v>
      </c>
      <c r="E929" s="12" t="s">
        <v>22</v>
      </c>
      <c r="F929" s="17">
        <v>0</v>
      </c>
      <c r="G929" s="12" t="s">
        <v>22</v>
      </c>
      <c r="H929" s="17">
        <v>0</v>
      </c>
      <c r="I929" s="22"/>
      <c r="J929" s="28"/>
      <c r="K929" s="28"/>
    </row>
    <row r="930" spans="1:11" s="4" customFormat="1" x14ac:dyDescent="0.25">
      <c r="A930" s="40"/>
      <c r="B930" s="43"/>
      <c r="C930" s="12" t="s">
        <v>23</v>
      </c>
      <c r="D930" s="17">
        <v>0</v>
      </c>
      <c r="E930" s="12" t="s">
        <v>23</v>
      </c>
      <c r="F930" s="17">
        <v>0</v>
      </c>
      <c r="G930" s="12" t="s">
        <v>23</v>
      </c>
      <c r="H930" s="17">
        <v>0</v>
      </c>
      <c r="I930" s="22"/>
      <c r="J930" s="28"/>
      <c r="K930" s="28"/>
    </row>
    <row r="931" spans="1:11" s="4" customFormat="1" x14ac:dyDescent="0.25">
      <c r="A931" s="40"/>
      <c r="B931" s="43"/>
      <c r="C931" s="12" t="s">
        <v>24</v>
      </c>
      <c r="D931" s="17">
        <f>68590.94/1000</f>
        <v>68.590940000000003</v>
      </c>
      <c r="E931" s="12" t="s">
        <v>24</v>
      </c>
      <c r="F931" s="17">
        <v>0</v>
      </c>
      <c r="G931" s="12" t="s">
        <v>24</v>
      </c>
      <c r="H931" s="17">
        <v>0</v>
      </c>
      <c r="I931" s="22"/>
      <c r="J931" s="28"/>
      <c r="K931" s="28"/>
    </row>
    <row r="932" spans="1:11" s="4" customFormat="1" x14ac:dyDescent="0.25">
      <c r="A932" s="41"/>
      <c r="B932" s="44"/>
      <c r="C932" s="12" t="s">
        <v>25</v>
      </c>
      <c r="D932" s="17">
        <v>0</v>
      </c>
      <c r="E932" s="12" t="s">
        <v>25</v>
      </c>
      <c r="F932" s="17">
        <v>0</v>
      </c>
      <c r="G932" s="12" t="s">
        <v>25</v>
      </c>
      <c r="H932" s="17">
        <v>0</v>
      </c>
      <c r="I932" s="22"/>
      <c r="J932" s="28"/>
      <c r="K932" s="29"/>
    </row>
    <row r="933" spans="1:11" s="4" customFormat="1" x14ac:dyDescent="0.25">
      <c r="A933" s="39" t="s">
        <v>327</v>
      </c>
      <c r="B933" s="42" t="s">
        <v>328</v>
      </c>
      <c r="C933" s="9" t="s">
        <v>28</v>
      </c>
      <c r="D933" s="17">
        <f>D935+D936+D937+D938</f>
        <v>155.52509000000001</v>
      </c>
      <c r="E933" s="9" t="s">
        <v>28</v>
      </c>
      <c r="F933" s="17">
        <f>F935+F936+F937+F938</f>
        <v>0</v>
      </c>
      <c r="G933" s="9" t="s">
        <v>28</v>
      </c>
      <c r="H933" s="17">
        <f>H935+H936+H937+H938</f>
        <v>0</v>
      </c>
      <c r="I933" s="22" t="s">
        <v>104</v>
      </c>
      <c r="J933" s="28"/>
      <c r="K933" s="27" t="s">
        <v>214</v>
      </c>
    </row>
    <row r="934" spans="1:11" s="4" customFormat="1" x14ac:dyDescent="0.25">
      <c r="A934" s="40"/>
      <c r="B934" s="43"/>
      <c r="C934" s="9" t="s">
        <v>21</v>
      </c>
      <c r="D934" s="17"/>
      <c r="E934" s="9" t="s">
        <v>21</v>
      </c>
      <c r="F934" s="17"/>
      <c r="G934" s="9" t="s">
        <v>21</v>
      </c>
      <c r="H934" s="17"/>
      <c r="I934" s="22"/>
      <c r="J934" s="28"/>
      <c r="K934" s="28"/>
    </row>
    <row r="935" spans="1:11" s="4" customFormat="1" x14ac:dyDescent="0.25">
      <c r="A935" s="40"/>
      <c r="B935" s="43"/>
      <c r="C935" s="12" t="s">
        <v>22</v>
      </c>
      <c r="D935" s="17">
        <v>0</v>
      </c>
      <c r="E935" s="12" t="s">
        <v>22</v>
      </c>
      <c r="F935" s="17">
        <v>0</v>
      </c>
      <c r="G935" s="12" t="s">
        <v>22</v>
      </c>
      <c r="H935" s="17">
        <v>0</v>
      </c>
      <c r="I935" s="22"/>
      <c r="J935" s="28"/>
      <c r="K935" s="28"/>
    </row>
    <row r="936" spans="1:11" s="4" customFormat="1" x14ac:dyDescent="0.25">
      <c r="A936" s="40"/>
      <c r="B936" s="43"/>
      <c r="C936" s="12" t="s">
        <v>23</v>
      </c>
      <c r="D936" s="17">
        <v>0</v>
      </c>
      <c r="E936" s="12" t="s">
        <v>23</v>
      </c>
      <c r="F936" s="17">
        <v>0</v>
      </c>
      <c r="G936" s="12" t="s">
        <v>23</v>
      </c>
      <c r="H936" s="17">
        <v>0</v>
      </c>
      <c r="I936" s="22"/>
      <c r="J936" s="28"/>
      <c r="K936" s="28"/>
    </row>
    <row r="937" spans="1:11" s="4" customFormat="1" x14ac:dyDescent="0.25">
      <c r="A937" s="40"/>
      <c r="B937" s="43"/>
      <c r="C937" s="12" t="s">
        <v>24</v>
      </c>
      <c r="D937" s="17">
        <f>155525.09/1000</f>
        <v>155.52509000000001</v>
      </c>
      <c r="E937" s="12" t="s">
        <v>24</v>
      </c>
      <c r="F937" s="17">
        <v>0</v>
      </c>
      <c r="G937" s="12" t="s">
        <v>24</v>
      </c>
      <c r="H937" s="17">
        <v>0</v>
      </c>
      <c r="I937" s="22"/>
      <c r="J937" s="28"/>
      <c r="K937" s="28"/>
    </row>
    <row r="938" spans="1:11" s="4" customFormat="1" x14ac:dyDescent="0.25">
      <c r="A938" s="41"/>
      <c r="B938" s="44"/>
      <c r="C938" s="12" t="s">
        <v>25</v>
      </c>
      <c r="D938" s="17">
        <v>0</v>
      </c>
      <c r="E938" s="12" t="s">
        <v>25</v>
      </c>
      <c r="F938" s="17">
        <v>0</v>
      </c>
      <c r="G938" s="12" t="s">
        <v>25</v>
      </c>
      <c r="H938" s="17">
        <v>0</v>
      </c>
      <c r="I938" s="22"/>
      <c r="J938" s="28"/>
      <c r="K938" s="29"/>
    </row>
    <row r="939" spans="1:11" s="4" customFormat="1" x14ac:dyDescent="0.25">
      <c r="A939" s="39" t="s">
        <v>329</v>
      </c>
      <c r="B939" s="42" t="s">
        <v>330</v>
      </c>
      <c r="C939" s="9" t="s">
        <v>28</v>
      </c>
      <c r="D939" s="17">
        <f>D941+D942+D943+D944</f>
        <v>390.72726</v>
      </c>
      <c r="E939" s="9" t="s">
        <v>28</v>
      </c>
      <c r="F939" s="17">
        <f>F941+F942+F943+F944</f>
        <v>0</v>
      </c>
      <c r="G939" s="9" t="s">
        <v>28</v>
      </c>
      <c r="H939" s="17">
        <f>H941+H942+H943+H944</f>
        <v>0</v>
      </c>
      <c r="I939" s="22" t="s">
        <v>104</v>
      </c>
      <c r="J939" s="28"/>
      <c r="K939" s="27" t="s">
        <v>214</v>
      </c>
    </row>
    <row r="940" spans="1:11" s="4" customFormat="1" x14ac:dyDescent="0.25">
      <c r="A940" s="40"/>
      <c r="B940" s="43"/>
      <c r="C940" s="9" t="s">
        <v>21</v>
      </c>
      <c r="D940" s="17"/>
      <c r="E940" s="9" t="s">
        <v>21</v>
      </c>
      <c r="F940" s="17"/>
      <c r="G940" s="9" t="s">
        <v>21</v>
      </c>
      <c r="H940" s="17"/>
      <c r="I940" s="22"/>
      <c r="J940" s="28"/>
      <c r="K940" s="28"/>
    </row>
    <row r="941" spans="1:11" s="4" customFormat="1" x14ac:dyDescent="0.25">
      <c r="A941" s="40"/>
      <c r="B941" s="43"/>
      <c r="C941" s="12" t="s">
        <v>22</v>
      </c>
      <c r="D941" s="17">
        <v>0</v>
      </c>
      <c r="E941" s="12" t="s">
        <v>22</v>
      </c>
      <c r="F941" s="17">
        <v>0</v>
      </c>
      <c r="G941" s="12" t="s">
        <v>22</v>
      </c>
      <c r="H941" s="17">
        <v>0</v>
      </c>
      <c r="I941" s="22"/>
      <c r="J941" s="28"/>
      <c r="K941" s="28"/>
    </row>
    <row r="942" spans="1:11" s="4" customFormat="1" x14ac:dyDescent="0.25">
      <c r="A942" s="40"/>
      <c r="B942" s="43"/>
      <c r="C942" s="12" t="s">
        <v>23</v>
      </c>
      <c r="D942" s="17">
        <v>0</v>
      </c>
      <c r="E942" s="12" t="s">
        <v>23</v>
      </c>
      <c r="F942" s="17">
        <v>0</v>
      </c>
      <c r="G942" s="12" t="s">
        <v>23</v>
      </c>
      <c r="H942" s="17">
        <v>0</v>
      </c>
      <c r="I942" s="22"/>
      <c r="J942" s="28"/>
      <c r="K942" s="28"/>
    </row>
    <row r="943" spans="1:11" s="4" customFormat="1" x14ac:dyDescent="0.25">
      <c r="A943" s="40"/>
      <c r="B943" s="43"/>
      <c r="C943" s="12" t="s">
        <v>24</v>
      </c>
      <c r="D943" s="17">
        <f>390727.26/1000</f>
        <v>390.72726</v>
      </c>
      <c r="E943" s="12" t="s">
        <v>24</v>
      </c>
      <c r="F943" s="17">
        <v>0</v>
      </c>
      <c r="G943" s="12" t="s">
        <v>24</v>
      </c>
      <c r="H943" s="17">
        <v>0</v>
      </c>
      <c r="I943" s="22"/>
      <c r="J943" s="28"/>
      <c r="K943" s="28"/>
    </row>
    <row r="944" spans="1:11" s="4" customFormat="1" x14ac:dyDescent="0.25">
      <c r="A944" s="41"/>
      <c r="B944" s="44"/>
      <c r="C944" s="12" t="s">
        <v>25</v>
      </c>
      <c r="D944" s="17">
        <v>0</v>
      </c>
      <c r="E944" s="12" t="s">
        <v>25</v>
      </c>
      <c r="F944" s="17">
        <v>0</v>
      </c>
      <c r="G944" s="12" t="s">
        <v>25</v>
      </c>
      <c r="H944" s="17">
        <v>0</v>
      </c>
      <c r="I944" s="22"/>
      <c r="J944" s="28"/>
      <c r="K944" s="29"/>
    </row>
    <row r="945" spans="1:11" s="4" customFormat="1" x14ac:dyDescent="0.25">
      <c r="A945" s="39" t="s">
        <v>331</v>
      </c>
      <c r="B945" s="42" t="s">
        <v>332</v>
      </c>
      <c r="C945" s="9" t="s">
        <v>28</v>
      </c>
      <c r="D945" s="17">
        <f>D947+D948+D949+D950</f>
        <v>199.50126999999998</v>
      </c>
      <c r="E945" s="9" t="s">
        <v>28</v>
      </c>
      <c r="F945" s="17">
        <f>F947+F948+F949+F950</f>
        <v>0</v>
      </c>
      <c r="G945" s="9" t="s">
        <v>28</v>
      </c>
      <c r="H945" s="17">
        <f>H947+H948+H949+H950</f>
        <v>0</v>
      </c>
      <c r="I945" s="22" t="s">
        <v>104</v>
      </c>
      <c r="J945" s="28"/>
      <c r="K945" s="27" t="s">
        <v>214</v>
      </c>
    </row>
    <row r="946" spans="1:11" s="4" customFormat="1" x14ac:dyDescent="0.25">
      <c r="A946" s="40"/>
      <c r="B946" s="43"/>
      <c r="C946" s="9" t="s">
        <v>21</v>
      </c>
      <c r="D946" s="17"/>
      <c r="E946" s="9" t="s">
        <v>21</v>
      </c>
      <c r="F946" s="17"/>
      <c r="G946" s="9" t="s">
        <v>21</v>
      </c>
      <c r="H946" s="17"/>
      <c r="I946" s="22"/>
      <c r="J946" s="28"/>
      <c r="K946" s="28"/>
    </row>
    <row r="947" spans="1:11" s="4" customFormat="1" x14ac:dyDescent="0.25">
      <c r="A947" s="40"/>
      <c r="B947" s="43"/>
      <c r="C947" s="12" t="s">
        <v>22</v>
      </c>
      <c r="D947" s="17">
        <v>0</v>
      </c>
      <c r="E947" s="12" t="s">
        <v>22</v>
      </c>
      <c r="F947" s="17">
        <v>0</v>
      </c>
      <c r="G947" s="12" t="s">
        <v>22</v>
      </c>
      <c r="H947" s="17">
        <v>0</v>
      </c>
      <c r="I947" s="22"/>
      <c r="J947" s="28"/>
      <c r="K947" s="28"/>
    </row>
    <row r="948" spans="1:11" s="4" customFormat="1" x14ac:dyDescent="0.25">
      <c r="A948" s="40"/>
      <c r="B948" s="43"/>
      <c r="C948" s="12" t="s">
        <v>23</v>
      </c>
      <c r="D948" s="17">
        <v>0</v>
      </c>
      <c r="E948" s="12" t="s">
        <v>23</v>
      </c>
      <c r="F948" s="17">
        <v>0</v>
      </c>
      <c r="G948" s="12" t="s">
        <v>23</v>
      </c>
      <c r="H948" s="17">
        <v>0</v>
      </c>
      <c r="I948" s="22"/>
      <c r="J948" s="28"/>
      <c r="K948" s="28"/>
    </row>
    <row r="949" spans="1:11" s="4" customFormat="1" x14ac:dyDescent="0.25">
      <c r="A949" s="40"/>
      <c r="B949" s="43"/>
      <c r="C949" s="12" t="s">
        <v>24</v>
      </c>
      <c r="D949" s="17">
        <f>199501.27/1000</f>
        <v>199.50126999999998</v>
      </c>
      <c r="E949" s="12" t="s">
        <v>24</v>
      </c>
      <c r="F949" s="17">
        <v>0</v>
      </c>
      <c r="G949" s="12" t="s">
        <v>24</v>
      </c>
      <c r="H949" s="17">
        <v>0</v>
      </c>
      <c r="I949" s="22"/>
      <c r="J949" s="28"/>
      <c r="K949" s="28"/>
    </row>
    <row r="950" spans="1:11" s="4" customFormat="1" x14ac:dyDescent="0.25">
      <c r="A950" s="41"/>
      <c r="B950" s="44"/>
      <c r="C950" s="12" t="s">
        <v>25</v>
      </c>
      <c r="D950" s="17">
        <v>0</v>
      </c>
      <c r="E950" s="12" t="s">
        <v>25</v>
      </c>
      <c r="F950" s="17">
        <v>0</v>
      </c>
      <c r="G950" s="12" t="s">
        <v>25</v>
      </c>
      <c r="H950" s="17">
        <v>0</v>
      </c>
      <c r="I950" s="22"/>
      <c r="J950" s="28"/>
      <c r="K950" s="29"/>
    </row>
    <row r="951" spans="1:11" s="4" customFormat="1" x14ac:dyDescent="0.25">
      <c r="A951" s="39" t="s">
        <v>333</v>
      </c>
      <c r="B951" s="42" t="s">
        <v>334</v>
      </c>
      <c r="C951" s="9" t="s">
        <v>28</v>
      </c>
      <c r="D951" s="17">
        <f>D953+D954+D955+D956</f>
        <v>236.5</v>
      </c>
      <c r="E951" s="9" t="s">
        <v>28</v>
      </c>
      <c r="F951" s="17">
        <f>F953+F954+F955+F956</f>
        <v>0</v>
      </c>
      <c r="G951" s="9" t="s">
        <v>28</v>
      </c>
      <c r="H951" s="17">
        <f>H953+H954+H955+H956</f>
        <v>0</v>
      </c>
      <c r="I951" s="22" t="s">
        <v>104</v>
      </c>
      <c r="J951" s="28"/>
      <c r="K951" s="27" t="s">
        <v>214</v>
      </c>
    </row>
    <row r="952" spans="1:11" s="4" customFormat="1" x14ac:dyDescent="0.25">
      <c r="A952" s="40"/>
      <c r="B952" s="43"/>
      <c r="C952" s="9" t="s">
        <v>21</v>
      </c>
      <c r="D952" s="17"/>
      <c r="E952" s="9" t="s">
        <v>21</v>
      </c>
      <c r="F952" s="17"/>
      <c r="G952" s="9" t="s">
        <v>21</v>
      </c>
      <c r="H952" s="17"/>
      <c r="I952" s="22"/>
      <c r="J952" s="28"/>
      <c r="K952" s="28"/>
    </row>
    <row r="953" spans="1:11" s="4" customFormat="1" x14ac:dyDescent="0.25">
      <c r="A953" s="40"/>
      <c r="B953" s="43"/>
      <c r="C953" s="12" t="s">
        <v>22</v>
      </c>
      <c r="D953" s="17">
        <v>0</v>
      </c>
      <c r="E953" s="12" t="s">
        <v>22</v>
      </c>
      <c r="F953" s="17">
        <v>0</v>
      </c>
      <c r="G953" s="12" t="s">
        <v>22</v>
      </c>
      <c r="H953" s="17">
        <v>0</v>
      </c>
      <c r="I953" s="22"/>
      <c r="J953" s="28"/>
      <c r="K953" s="28"/>
    </row>
    <row r="954" spans="1:11" s="4" customFormat="1" x14ac:dyDescent="0.25">
      <c r="A954" s="40"/>
      <c r="B954" s="43"/>
      <c r="C954" s="12" t="s">
        <v>23</v>
      </c>
      <c r="D954" s="17">
        <v>0</v>
      </c>
      <c r="E954" s="12" t="s">
        <v>23</v>
      </c>
      <c r="F954" s="17">
        <v>0</v>
      </c>
      <c r="G954" s="12" t="s">
        <v>23</v>
      </c>
      <c r="H954" s="17">
        <v>0</v>
      </c>
      <c r="I954" s="22"/>
      <c r="J954" s="28"/>
      <c r="K954" s="28"/>
    </row>
    <row r="955" spans="1:11" s="4" customFormat="1" x14ac:dyDescent="0.25">
      <c r="A955" s="40"/>
      <c r="B955" s="43"/>
      <c r="C955" s="12" t="s">
        <v>24</v>
      </c>
      <c r="D955" s="17">
        <f>236500/1000</f>
        <v>236.5</v>
      </c>
      <c r="E955" s="12" t="s">
        <v>24</v>
      </c>
      <c r="F955" s="17">
        <v>0</v>
      </c>
      <c r="G955" s="12" t="s">
        <v>24</v>
      </c>
      <c r="H955" s="17">
        <v>0</v>
      </c>
      <c r="I955" s="22"/>
      <c r="J955" s="28"/>
      <c r="K955" s="28"/>
    </row>
    <row r="956" spans="1:11" s="4" customFormat="1" x14ac:dyDescent="0.25">
      <c r="A956" s="41"/>
      <c r="B956" s="44"/>
      <c r="C956" s="12" t="s">
        <v>25</v>
      </c>
      <c r="D956" s="17">
        <v>0</v>
      </c>
      <c r="E956" s="12" t="s">
        <v>25</v>
      </c>
      <c r="F956" s="17">
        <v>0</v>
      </c>
      <c r="G956" s="12" t="s">
        <v>25</v>
      </c>
      <c r="H956" s="17">
        <v>0</v>
      </c>
      <c r="I956" s="22"/>
      <c r="J956" s="28"/>
      <c r="K956" s="29"/>
    </row>
    <row r="957" spans="1:11" s="4" customFormat="1" x14ac:dyDescent="0.25">
      <c r="A957" s="39" t="s">
        <v>335</v>
      </c>
      <c r="B957" s="42" t="s">
        <v>336</v>
      </c>
      <c r="C957" s="9" t="s">
        <v>28</v>
      </c>
      <c r="D957" s="17">
        <f>D959+D960+D961+D962</f>
        <v>290.91453999999999</v>
      </c>
      <c r="E957" s="9" t="s">
        <v>28</v>
      </c>
      <c r="F957" s="17">
        <f>F959+F960+F961+F962</f>
        <v>0</v>
      </c>
      <c r="G957" s="9" t="s">
        <v>28</v>
      </c>
      <c r="H957" s="17">
        <f>H959+H960+H961+H962</f>
        <v>0</v>
      </c>
      <c r="I957" s="22" t="s">
        <v>104</v>
      </c>
      <c r="J957" s="28"/>
      <c r="K957" s="27" t="s">
        <v>214</v>
      </c>
    </row>
    <row r="958" spans="1:11" s="4" customFormat="1" x14ac:dyDescent="0.25">
      <c r="A958" s="40"/>
      <c r="B958" s="43"/>
      <c r="C958" s="9" t="s">
        <v>21</v>
      </c>
      <c r="D958" s="17"/>
      <c r="E958" s="9" t="s">
        <v>21</v>
      </c>
      <c r="F958" s="17"/>
      <c r="G958" s="9" t="s">
        <v>21</v>
      </c>
      <c r="H958" s="17"/>
      <c r="I958" s="22"/>
      <c r="J958" s="28"/>
      <c r="K958" s="28"/>
    </row>
    <row r="959" spans="1:11" s="4" customFormat="1" x14ac:dyDescent="0.25">
      <c r="A959" s="40"/>
      <c r="B959" s="43"/>
      <c r="C959" s="12" t="s">
        <v>22</v>
      </c>
      <c r="D959" s="17">
        <v>0</v>
      </c>
      <c r="E959" s="12" t="s">
        <v>22</v>
      </c>
      <c r="F959" s="17">
        <v>0</v>
      </c>
      <c r="G959" s="12" t="s">
        <v>22</v>
      </c>
      <c r="H959" s="17">
        <v>0</v>
      </c>
      <c r="I959" s="22"/>
      <c r="J959" s="28"/>
      <c r="K959" s="28"/>
    </row>
    <row r="960" spans="1:11" s="4" customFormat="1" x14ac:dyDescent="0.25">
      <c r="A960" s="40"/>
      <c r="B960" s="43"/>
      <c r="C960" s="12" t="s">
        <v>23</v>
      </c>
      <c r="D960" s="17">
        <v>0</v>
      </c>
      <c r="E960" s="12" t="s">
        <v>23</v>
      </c>
      <c r="F960" s="17">
        <v>0</v>
      </c>
      <c r="G960" s="12" t="s">
        <v>23</v>
      </c>
      <c r="H960" s="17">
        <v>0</v>
      </c>
      <c r="I960" s="22"/>
      <c r="J960" s="28"/>
      <c r="K960" s="28"/>
    </row>
    <row r="961" spans="1:11" s="4" customFormat="1" x14ac:dyDescent="0.25">
      <c r="A961" s="40"/>
      <c r="B961" s="43"/>
      <c r="C961" s="12" t="s">
        <v>24</v>
      </c>
      <c r="D961" s="17">
        <f>290914.54/1000</f>
        <v>290.91453999999999</v>
      </c>
      <c r="E961" s="12" t="s">
        <v>24</v>
      </c>
      <c r="F961" s="17">
        <v>0</v>
      </c>
      <c r="G961" s="12" t="s">
        <v>24</v>
      </c>
      <c r="H961" s="17">
        <v>0</v>
      </c>
      <c r="I961" s="22"/>
      <c r="J961" s="28"/>
      <c r="K961" s="28"/>
    </row>
    <row r="962" spans="1:11" s="4" customFormat="1" x14ac:dyDescent="0.25">
      <c r="A962" s="41"/>
      <c r="B962" s="44"/>
      <c r="C962" s="12" t="s">
        <v>25</v>
      </c>
      <c r="D962" s="17">
        <v>0</v>
      </c>
      <c r="E962" s="12" t="s">
        <v>25</v>
      </c>
      <c r="F962" s="17">
        <v>0</v>
      </c>
      <c r="G962" s="12" t="s">
        <v>25</v>
      </c>
      <c r="H962" s="17">
        <v>0</v>
      </c>
      <c r="I962" s="22"/>
      <c r="J962" s="28"/>
      <c r="K962" s="29"/>
    </row>
    <row r="963" spans="1:11" s="4" customFormat="1" x14ac:dyDescent="0.25">
      <c r="A963" s="39" t="s">
        <v>337</v>
      </c>
      <c r="B963" s="42" t="s">
        <v>338</v>
      </c>
      <c r="C963" s="9" t="s">
        <v>28</v>
      </c>
      <c r="D963" s="17">
        <f>D965+D966+D967+D968</f>
        <v>1742.6570200000001</v>
      </c>
      <c r="E963" s="9" t="s">
        <v>28</v>
      </c>
      <c r="F963" s="17">
        <f>F965+F966+F967+F968</f>
        <v>0</v>
      </c>
      <c r="G963" s="9" t="s">
        <v>28</v>
      </c>
      <c r="H963" s="17">
        <f>H965+H966+H967+H968</f>
        <v>0</v>
      </c>
      <c r="I963" s="22" t="s">
        <v>104</v>
      </c>
      <c r="J963" s="28"/>
      <c r="K963" s="27" t="s">
        <v>214</v>
      </c>
    </row>
    <row r="964" spans="1:11" s="4" customFormat="1" x14ac:dyDescent="0.25">
      <c r="A964" s="40"/>
      <c r="B964" s="43"/>
      <c r="C964" s="9" t="s">
        <v>21</v>
      </c>
      <c r="D964" s="17"/>
      <c r="E964" s="9" t="s">
        <v>21</v>
      </c>
      <c r="F964" s="17"/>
      <c r="G964" s="9" t="s">
        <v>21</v>
      </c>
      <c r="H964" s="17"/>
      <c r="I964" s="22"/>
      <c r="J964" s="28"/>
      <c r="K964" s="28"/>
    </row>
    <row r="965" spans="1:11" s="4" customFormat="1" x14ac:dyDescent="0.25">
      <c r="A965" s="40"/>
      <c r="B965" s="43"/>
      <c r="C965" s="12" t="s">
        <v>22</v>
      </c>
      <c r="D965" s="17">
        <v>0</v>
      </c>
      <c r="E965" s="12" t="s">
        <v>22</v>
      </c>
      <c r="F965" s="17">
        <v>0</v>
      </c>
      <c r="G965" s="12" t="s">
        <v>22</v>
      </c>
      <c r="H965" s="17">
        <v>0</v>
      </c>
      <c r="I965" s="22"/>
      <c r="J965" s="28"/>
      <c r="K965" s="28"/>
    </row>
    <row r="966" spans="1:11" s="4" customFormat="1" x14ac:dyDescent="0.25">
      <c r="A966" s="40"/>
      <c r="B966" s="43"/>
      <c r="C966" s="12" t="s">
        <v>23</v>
      </c>
      <c r="D966" s="17">
        <v>0</v>
      </c>
      <c r="E966" s="12" t="s">
        <v>23</v>
      </c>
      <c r="F966" s="17">
        <v>0</v>
      </c>
      <c r="G966" s="12" t="s">
        <v>23</v>
      </c>
      <c r="H966" s="17">
        <v>0</v>
      </c>
      <c r="I966" s="22"/>
      <c r="J966" s="28"/>
      <c r="K966" s="28"/>
    </row>
    <row r="967" spans="1:11" s="4" customFormat="1" x14ac:dyDescent="0.25">
      <c r="A967" s="40"/>
      <c r="B967" s="43"/>
      <c r="C967" s="12" t="s">
        <v>24</v>
      </c>
      <c r="D967" s="17">
        <f>1742657.02/1000</f>
        <v>1742.6570200000001</v>
      </c>
      <c r="E967" s="12" t="s">
        <v>24</v>
      </c>
      <c r="F967" s="17">
        <v>0</v>
      </c>
      <c r="G967" s="12" t="s">
        <v>24</v>
      </c>
      <c r="H967" s="17">
        <v>0</v>
      </c>
      <c r="I967" s="22"/>
      <c r="J967" s="28"/>
      <c r="K967" s="28"/>
    </row>
    <row r="968" spans="1:11" s="4" customFormat="1" x14ac:dyDescent="0.25">
      <c r="A968" s="41"/>
      <c r="B968" s="44"/>
      <c r="C968" s="12" t="s">
        <v>25</v>
      </c>
      <c r="D968" s="17">
        <v>0</v>
      </c>
      <c r="E968" s="12" t="s">
        <v>25</v>
      </c>
      <c r="F968" s="17">
        <v>0</v>
      </c>
      <c r="G968" s="12" t="s">
        <v>25</v>
      </c>
      <c r="H968" s="17">
        <v>0</v>
      </c>
      <c r="I968" s="22"/>
      <c r="J968" s="28"/>
      <c r="K968" s="29"/>
    </row>
    <row r="969" spans="1:11" s="4" customFormat="1" x14ac:dyDescent="0.25">
      <c r="A969" s="39" t="s">
        <v>339</v>
      </c>
      <c r="B969" s="42" t="s">
        <v>340</v>
      </c>
      <c r="C969" s="9" t="s">
        <v>28</v>
      </c>
      <c r="D969" s="17">
        <f>D971+D972+D973+D974</f>
        <v>455.04551000000004</v>
      </c>
      <c r="E969" s="9" t="s">
        <v>28</v>
      </c>
      <c r="F969" s="17">
        <f>F971+F972+F973+F974</f>
        <v>0</v>
      </c>
      <c r="G969" s="9" t="s">
        <v>28</v>
      </c>
      <c r="H969" s="17">
        <f>H971+H972+H973+H974</f>
        <v>0</v>
      </c>
      <c r="I969" s="22" t="s">
        <v>104</v>
      </c>
      <c r="J969" s="28"/>
      <c r="K969" s="27" t="s">
        <v>214</v>
      </c>
    </row>
    <row r="970" spans="1:11" s="4" customFormat="1" x14ac:dyDescent="0.25">
      <c r="A970" s="40"/>
      <c r="B970" s="43"/>
      <c r="C970" s="9" t="s">
        <v>21</v>
      </c>
      <c r="D970" s="17"/>
      <c r="E970" s="9" t="s">
        <v>21</v>
      </c>
      <c r="F970" s="17"/>
      <c r="G970" s="9" t="s">
        <v>21</v>
      </c>
      <c r="H970" s="17"/>
      <c r="I970" s="22"/>
      <c r="J970" s="28"/>
      <c r="K970" s="28"/>
    </row>
    <row r="971" spans="1:11" s="4" customFormat="1" x14ac:dyDescent="0.25">
      <c r="A971" s="40"/>
      <c r="B971" s="43"/>
      <c r="C971" s="12" t="s">
        <v>22</v>
      </c>
      <c r="D971" s="17">
        <v>0</v>
      </c>
      <c r="E971" s="12" t="s">
        <v>22</v>
      </c>
      <c r="F971" s="17">
        <v>0</v>
      </c>
      <c r="G971" s="12" t="s">
        <v>22</v>
      </c>
      <c r="H971" s="17">
        <v>0</v>
      </c>
      <c r="I971" s="22"/>
      <c r="J971" s="28"/>
      <c r="K971" s="28"/>
    </row>
    <row r="972" spans="1:11" s="4" customFormat="1" x14ac:dyDescent="0.25">
      <c r="A972" s="40"/>
      <c r="B972" s="43"/>
      <c r="C972" s="12" t="s">
        <v>23</v>
      </c>
      <c r="D972" s="17">
        <v>0</v>
      </c>
      <c r="E972" s="12" t="s">
        <v>23</v>
      </c>
      <c r="F972" s="17">
        <v>0</v>
      </c>
      <c r="G972" s="12" t="s">
        <v>23</v>
      </c>
      <c r="H972" s="17">
        <v>0</v>
      </c>
      <c r="I972" s="22"/>
      <c r="J972" s="28"/>
      <c r="K972" s="28"/>
    </row>
    <row r="973" spans="1:11" s="4" customFormat="1" x14ac:dyDescent="0.25">
      <c r="A973" s="40"/>
      <c r="B973" s="43"/>
      <c r="C973" s="12" t="s">
        <v>24</v>
      </c>
      <c r="D973" s="17">
        <f>455045.51/1000</f>
        <v>455.04551000000004</v>
      </c>
      <c r="E973" s="12" t="s">
        <v>24</v>
      </c>
      <c r="F973" s="17">
        <v>0</v>
      </c>
      <c r="G973" s="12" t="s">
        <v>24</v>
      </c>
      <c r="H973" s="17">
        <v>0</v>
      </c>
      <c r="I973" s="22"/>
      <c r="J973" s="28"/>
      <c r="K973" s="28"/>
    </row>
    <row r="974" spans="1:11" s="4" customFormat="1" x14ac:dyDescent="0.25">
      <c r="A974" s="41"/>
      <c r="B974" s="44"/>
      <c r="C974" s="12" t="s">
        <v>25</v>
      </c>
      <c r="D974" s="17">
        <v>0</v>
      </c>
      <c r="E974" s="12" t="s">
        <v>25</v>
      </c>
      <c r="F974" s="17">
        <v>0</v>
      </c>
      <c r="G974" s="12" t="s">
        <v>25</v>
      </c>
      <c r="H974" s="17">
        <v>0</v>
      </c>
      <c r="I974" s="22"/>
      <c r="J974" s="28"/>
      <c r="K974" s="29"/>
    </row>
    <row r="975" spans="1:11" s="4" customFormat="1" x14ac:dyDescent="0.25">
      <c r="A975" s="39" t="s">
        <v>341</v>
      </c>
      <c r="B975" s="42" t="s">
        <v>342</v>
      </c>
      <c r="C975" s="9" t="s">
        <v>28</v>
      </c>
      <c r="D975" s="17">
        <f>D977+D978+D979+D980</f>
        <v>62</v>
      </c>
      <c r="E975" s="9" t="s">
        <v>28</v>
      </c>
      <c r="F975" s="17">
        <f>F977+F978+F979+F980</f>
        <v>0</v>
      </c>
      <c r="G975" s="9" t="s">
        <v>28</v>
      </c>
      <c r="H975" s="17">
        <f>H977+H978+H979+H980</f>
        <v>0</v>
      </c>
      <c r="I975" s="22" t="s">
        <v>104</v>
      </c>
      <c r="J975" s="28"/>
      <c r="K975" s="27" t="s">
        <v>214</v>
      </c>
    </row>
    <row r="976" spans="1:11" s="4" customFormat="1" x14ac:dyDescent="0.25">
      <c r="A976" s="40"/>
      <c r="B976" s="43"/>
      <c r="C976" s="9" t="s">
        <v>21</v>
      </c>
      <c r="D976" s="17"/>
      <c r="E976" s="9" t="s">
        <v>21</v>
      </c>
      <c r="F976" s="17"/>
      <c r="G976" s="9" t="s">
        <v>21</v>
      </c>
      <c r="H976" s="17"/>
      <c r="I976" s="22"/>
      <c r="J976" s="28"/>
      <c r="K976" s="28"/>
    </row>
    <row r="977" spans="1:11" s="4" customFormat="1" x14ac:dyDescent="0.25">
      <c r="A977" s="40"/>
      <c r="B977" s="43"/>
      <c r="C977" s="12" t="s">
        <v>22</v>
      </c>
      <c r="D977" s="17">
        <v>0</v>
      </c>
      <c r="E977" s="12" t="s">
        <v>22</v>
      </c>
      <c r="F977" s="17">
        <v>0</v>
      </c>
      <c r="G977" s="12" t="s">
        <v>22</v>
      </c>
      <c r="H977" s="17">
        <v>0</v>
      </c>
      <c r="I977" s="22"/>
      <c r="J977" s="28"/>
      <c r="K977" s="28"/>
    </row>
    <row r="978" spans="1:11" s="4" customFormat="1" x14ac:dyDescent="0.25">
      <c r="A978" s="40"/>
      <c r="B978" s="43"/>
      <c r="C978" s="12" t="s">
        <v>23</v>
      </c>
      <c r="D978" s="17">
        <v>0</v>
      </c>
      <c r="E978" s="12" t="s">
        <v>23</v>
      </c>
      <c r="F978" s="17">
        <v>0</v>
      </c>
      <c r="G978" s="12" t="s">
        <v>23</v>
      </c>
      <c r="H978" s="17">
        <v>0</v>
      </c>
      <c r="I978" s="22"/>
      <c r="J978" s="28"/>
      <c r="K978" s="28"/>
    </row>
    <row r="979" spans="1:11" s="4" customFormat="1" x14ac:dyDescent="0.25">
      <c r="A979" s="40"/>
      <c r="B979" s="43"/>
      <c r="C979" s="12" t="s">
        <v>24</v>
      </c>
      <c r="D979" s="17">
        <f>62000/1000</f>
        <v>62</v>
      </c>
      <c r="E979" s="12" t="s">
        <v>24</v>
      </c>
      <c r="F979" s="17">
        <v>0</v>
      </c>
      <c r="G979" s="12" t="s">
        <v>24</v>
      </c>
      <c r="H979" s="17">
        <v>0</v>
      </c>
      <c r="I979" s="22"/>
      <c r="J979" s="28"/>
      <c r="K979" s="28"/>
    </row>
    <row r="980" spans="1:11" s="4" customFormat="1" x14ac:dyDescent="0.25">
      <c r="A980" s="41"/>
      <c r="B980" s="44"/>
      <c r="C980" s="12" t="s">
        <v>25</v>
      </c>
      <c r="D980" s="17">
        <v>0</v>
      </c>
      <c r="E980" s="12" t="s">
        <v>25</v>
      </c>
      <c r="F980" s="17">
        <v>0</v>
      </c>
      <c r="G980" s="12" t="s">
        <v>25</v>
      </c>
      <c r="H980" s="17">
        <v>0</v>
      </c>
      <c r="I980" s="22"/>
      <c r="J980" s="28"/>
      <c r="K980" s="29"/>
    </row>
    <row r="981" spans="1:11" s="4" customFormat="1" x14ac:dyDescent="0.25">
      <c r="A981" s="39" t="s">
        <v>343</v>
      </c>
      <c r="B981" s="42" t="s">
        <v>344</v>
      </c>
      <c r="C981" s="9" t="s">
        <v>28</v>
      </c>
      <c r="D981" s="17">
        <f>D983+D984+D985+D986</f>
        <v>66</v>
      </c>
      <c r="E981" s="9" t="s">
        <v>28</v>
      </c>
      <c r="F981" s="17">
        <f>F983+F984+F985+F986</f>
        <v>0</v>
      </c>
      <c r="G981" s="9" t="s">
        <v>28</v>
      </c>
      <c r="H981" s="17">
        <f>H983+H984+H985+H986</f>
        <v>0</v>
      </c>
      <c r="I981" s="22" t="s">
        <v>104</v>
      </c>
      <c r="J981" s="28"/>
      <c r="K981" s="27" t="s">
        <v>214</v>
      </c>
    </row>
    <row r="982" spans="1:11" s="4" customFormat="1" x14ac:dyDescent="0.25">
      <c r="A982" s="40"/>
      <c r="B982" s="43"/>
      <c r="C982" s="9" t="s">
        <v>21</v>
      </c>
      <c r="D982" s="17"/>
      <c r="E982" s="9" t="s">
        <v>21</v>
      </c>
      <c r="F982" s="17"/>
      <c r="G982" s="9" t="s">
        <v>21</v>
      </c>
      <c r="H982" s="17"/>
      <c r="I982" s="22"/>
      <c r="J982" s="28"/>
      <c r="K982" s="28"/>
    </row>
    <row r="983" spans="1:11" s="4" customFormat="1" x14ac:dyDescent="0.25">
      <c r="A983" s="40"/>
      <c r="B983" s="43"/>
      <c r="C983" s="12" t="s">
        <v>22</v>
      </c>
      <c r="D983" s="17">
        <v>0</v>
      </c>
      <c r="E983" s="12" t="s">
        <v>22</v>
      </c>
      <c r="F983" s="17">
        <v>0</v>
      </c>
      <c r="G983" s="12" t="s">
        <v>22</v>
      </c>
      <c r="H983" s="17">
        <v>0</v>
      </c>
      <c r="I983" s="22"/>
      <c r="J983" s="28"/>
      <c r="K983" s="28"/>
    </row>
    <row r="984" spans="1:11" s="4" customFormat="1" x14ac:dyDescent="0.25">
      <c r="A984" s="40"/>
      <c r="B984" s="43"/>
      <c r="C984" s="12" t="s">
        <v>23</v>
      </c>
      <c r="D984" s="17">
        <v>0</v>
      </c>
      <c r="E984" s="12" t="s">
        <v>23</v>
      </c>
      <c r="F984" s="17">
        <v>0</v>
      </c>
      <c r="G984" s="12" t="s">
        <v>23</v>
      </c>
      <c r="H984" s="17">
        <v>0</v>
      </c>
      <c r="I984" s="22"/>
      <c r="J984" s="28"/>
      <c r="K984" s="28"/>
    </row>
    <row r="985" spans="1:11" s="4" customFormat="1" x14ac:dyDescent="0.25">
      <c r="A985" s="40"/>
      <c r="B985" s="43"/>
      <c r="C985" s="12" t="s">
        <v>24</v>
      </c>
      <c r="D985" s="17">
        <f>66000/1000</f>
        <v>66</v>
      </c>
      <c r="E985" s="12" t="s">
        <v>24</v>
      </c>
      <c r="F985" s="17">
        <v>0</v>
      </c>
      <c r="G985" s="12" t="s">
        <v>24</v>
      </c>
      <c r="H985" s="17">
        <v>0</v>
      </c>
      <c r="I985" s="22"/>
      <c r="J985" s="28"/>
      <c r="K985" s="28"/>
    </row>
    <row r="986" spans="1:11" s="4" customFormat="1" x14ac:dyDescent="0.25">
      <c r="A986" s="41"/>
      <c r="B986" s="44"/>
      <c r="C986" s="12" t="s">
        <v>25</v>
      </c>
      <c r="D986" s="17">
        <v>0</v>
      </c>
      <c r="E986" s="12" t="s">
        <v>25</v>
      </c>
      <c r="F986" s="17">
        <v>0</v>
      </c>
      <c r="G986" s="12" t="s">
        <v>25</v>
      </c>
      <c r="H986" s="17">
        <v>0</v>
      </c>
      <c r="I986" s="22"/>
      <c r="J986" s="28"/>
      <c r="K986" s="29"/>
    </row>
    <row r="987" spans="1:11" s="4" customFormat="1" x14ac:dyDescent="0.25">
      <c r="A987" s="39" t="s">
        <v>345</v>
      </c>
      <c r="B987" s="42" t="s">
        <v>346</v>
      </c>
      <c r="C987" s="9" t="s">
        <v>28</v>
      </c>
      <c r="D987" s="17">
        <f>D989+D990+D991+D992</f>
        <v>64</v>
      </c>
      <c r="E987" s="9" t="s">
        <v>28</v>
      </c>
      <c r="F987" s="17">
        <f>F989+F990+F991+F992</f>
        <v>0</v>
      </c>
      <c r="G987" s="9" t="s">
        <v>28</v>
      </c>
      <c r="H987" s="17">
        <f>H989+H990+H991+H992</f>
        <v>0</v>
      </c>
      <c r="I987" s="22" t="s">
        <v>104</v>
      </c>
      <c r="J987" s="28"/>
      <c r="K987" s="27" t="s">
        <v>214</v>
      </c>
    </row>
    <row r="988" spans="1:11" s="4" customFormat="1" x14ac:dyDescent="0.25">
      <c r="A988" s="40"/>
      <c r="B988" s="43"/>
      <c r="C988" s="9" t="s">
        <v>21</v>
      </c>
      <c r="D988" s="17"/>
      <c r="E988" s="9" t="s">
        <v>21</v>
      </c>
      <c r="F988" s="17"/>
      <c r="G988" s="9" t="s">
        <v>21</v>
      </c>
      <c r="H988" s="17"/>
      <c r="I988" s="22"/>
      <c r="J988" s="28"/>
      <c r="K988" s="28"/>
    </row>
    <row r="989" spans="1:11" s="4" customFormat="1" x14ac:dyDescent="0.25">
      <c r="A989" s="40"/>
      <c r="B989" s="43"/>
      <c r="C989" s="12" t="s">
        <v>22</v>
      </c>
      <c r="D989" s="17">
        <v>0</v>
      </c>
      <c r="E989" s="12" t="s">
        <v>22</v>
      </c>
      <c r="F989" s="17">
        <v>0</v>
      </c>
      <c r="G989" s="12" t="s">
        <v>22</v>
      </c>
      <c r="H989" s="17">
        <v>0</v>
      </c>
      <c r="I989" s="22"/>
      <c r="J989" s="28"/>
      <c r="K989" s="28"/>
    </row>
    <row r="990" spans="1:11" s="4" customFormat="1" x14ac:dyDescent="0.25">
      <c r="A990" s="40"/>
      <c r="B990" s="43"/>
      <c r="C990" s="12" t="s">
        <v>23</v>
      </c>
      <c r="D990" s="17">
        <v>0</v>
      </c>
      <c r="E990" s="12" t="s">
        <v>23</v>
      </c>
      <c r="F990" s="17">
        <v>0</v>
      </c>
      <c r="G990" s="12" t="s">
        <v>23</v>
      </c>
      <c r="H990" s="17">
        <v>0</v>
      </c>
      <c r="I990" s="22"/>
      <c r="J990" s="28"/>
      <c r="K990" s="28"/>
    </row>
    <row r="991" spans="1:11" s="4" customFormat="1" x14ac:dyDescent="0.25">
      <c r="A991" s="40"/>
      <c r="B991" s="43"/>
      <c r="C991" s="12" t="s">
        <v>24</v>
      </c>
      <c r="D991" s="17">
        <f>64000/1000</f>
        <v>64</v>
      </c>
      <c r="E991" s="12" t="s">
        <v>24</v>
      </c>
      <c r="F991" s="17">
        <v>0</v>
      </c>
      <c r="G991" s="12" t="s">
        <v>24</v>
      </c>
      <c r="H991" s="17">
        <v>0</v>
      </c>
      <c r="I991" s="22"/>
      <c r="J991" s="28"/>
      <c r="K991" s="28"/>
    </row>
    <row r="992" spans="1:11" s="4" customFormat="1" x14ac:dyDescent="0.25">
      <c r="A992" s="41"/>
      <c r="B992" s="44"/>
      <c r="C992" s="12" t="s">
        <v>25</v>
      </c>
      <c r="D992" s="17">
        <v>0</v>
      </c>
      <c r="E992" s="12" t="s">
        <v>25</v>
      </c>
      <c r="F992" s="17">
        <v>0</v>
      </c>
      <c r="G992" s="12" t="s">
        <v>25</v>
      </c>
      <c r="H992" s="17">
        <v>0</v>
      </c>
      <c r="I992" s="22"/>
      <c r="J992" s="28"/>
      <c r="K992" s="29"/>
    </row>
    <row r="993" spans="1:11" s="4" customFormat="1" x14ac:dyDescent="0.25">
      <c r="A993" s="39" t="s">
        <v>347</v>
      </c>
      <c r="B993" s="42" t="s">
        <v>348</v>
      </c>
      <c r="C993" s="9" t="s">
        <v>28</v>
      </c>
      <c r="D993" s="17">
        <f>D995+D996+D997+D998</f>
        <v>64</v>
      </c>
      <c r="E993" s="9" t="s">
        <v>28</v>
      </c>
      <c r="F993" s="17">
        <f>F995+F996+F997+F998</f>
        <v>0</v>
      </c>
      <c r="G993" s="9" t="s">
        <v>28</v>
      </c>
      <c r="H993" s="17">
        <f>H995+H996+H997+H998</f>
        <v>0</v>
      </c>
      <c r="I993" s="22" t="s">
        <v>104</v>
      </c>
      <c r="J993" s="28"/>
      <c r="K993" s="27" t="s">
        <v>214</v>
      </c>
    </row>
    <row r="994" spans="1:11" s="4" customFormat="1" x14ac:dyDescent="0.25">
      <c r="A994" s="40"/>
      <c r="B994" s="43"/>
      <c r="C994" s="9" t="s">
        <v>21</v>
      </c>
      <c r="D994" s="17"/>
      <c r="E994" s="9" t="s">
        <v>21</v>
      </c>
      <c r="F994" s="17"/>
      <c r="G994" s="9" t="s">
        <v>21</v>
      </c>
      <c r="H994" s="17"/>
      <c r="I994" s="22"/>
      <c r="J994" s="28"/>
      <c r="K994" s="28"/>
    </row>
    <row r="995" spans="1:11" s="4" customFormat="1" x14ac:dyDescent="0.25">
      <c r="A995" s="40"/>
      <c r="B995" s="43"/>
      <c r="C995" s="12" t="s">
        <v>22</v>
      </c>
      <c r="D995" s="17">
        <v>0</v>
      </c>
      <c r="E995" s="12" t="s">
        <v>22</v>
      </c>
      <c r="F995" s="17">
        <v>0</v>
      </c>
      <c r="G995" s="12" t="s">
        <v>22</v>
      </c>
      <c r="H995" s="17">
        <v>0</v>
      </c>
      <c r="I995" s="22"/>
      <c r="J995" s="28"/>
      <c r="K995" s="28"/>
    </row>
    <row r="996" spans="1:11" s="4" customFormat="1" x14ac:dyDescent="0.25">
      <c r="A996" s="40"/>
      <c r="B996" s="43"/>
      <c r="C996" s="12" t="s">
        <v>23</v>
      </c>
      <c r="D996" s="17">
        <v>0</v>
      </c>
      <c r="E996" s="12" t="s">
        <v>23</v>
      </c>
      <c r="F996" s="17">
        <v>0</v>
      </c>
      <c r="G996" s="12" t="s">
        <v>23</v>
      </c>
      <c r="H996" s="17">
        <v>0</v>
      </c>
      <c r="I996" s="22"/>
      <c r="J996" s="28"/>
      <c r="K996" s="28"/>
    </row>
    <row r="997" spans="1:11" s="4" customFormat="1" x14ac:dyDescent="0.25">
      <c r="A997" s="40"/>
      <c r="B997" s="43"/>
      <c r="C997" s="12" t="s">
        <v>24</v>
      </c>
      <c r="D997" s="17">
        <f>64000/1000</f>
        <v>64</v>
      </c>
      <c r="E997" s="12" t="s">
        <v>24</v>
      </c>
      <c r="F997" s="17">
        <v>0</v>
      </c>
      <c r="G997" s="12" t="s">
        <v>24</v>
      </c>
      <c r="H997" s="17">
        <v>0</v>
      </c>
      <c r="I997" s="22"/>
      <c r="J997" s="28"/>
      <c r="K997" s="28"/>
    </row>
    <row r="998" spans="1:11" s="4" customFormat="1" x14ac:dyDescent="0.25">
      <c r="A998" s="41"/>
      <c r="B998" s="44"/>
      <c r="C998" s="12" t="s">
        <v>25</v>
      </c>
      <c r="D998" s="17">
        <v>0</v>
      </c>
      <c r="E998" s="12" t="s">
        <v>25</v>
      </c>
      <c r="F998" s="17">
        <v>0</v>
      </c>
      <c r="G998" s="12" t="s">
        <v>25</v>
      </c>
      <c r="H998" s="17">
        <v>0</v>
      </c>
      <c r="I998" s="22"/>
      <c r="J998" s="28"/>
      <c r="K998" s="29"/>
    </row>
    <row r="999" spans="1:11" s="4" customFormat="1" x14ac:dyDescent="0.25">
      <c r="A999" s="39" t="s">
        <v>349</v>
      </c>
      <c r="B999" s="42" t="s">
        <v>348</v>
      </c>
      <c r="C999" s="9" t="s">
        <v>28</v>
      </c>
      <c r="D999" s="17">
        <f>D1001+D1002+D1003+D1004</f>
        <v>60</v>
      </c>
      <c r="E999" s="9" t="s">
        <v>28</v>
      </c>
      <c r="F999" s="17">
        <f>F1001+F1002+F1003+F1004</f>
        <v>0</v>
      </c>
      <c r="G999" s="9" t="s">
        <v>28</v>
      </c>
      <c r="H999" s="17">
        <f>H1001+H1002+H1003+H1004</f>
        <v>0</v>
      </c>
      <c r="I999" s="22" t="s">
        <v>104</v>
      </c>
      <c r="J999" s="28"/>
      <c r="K999" s="27" t="s">
        <v>214</v>
      </c>
    </row>
    <row r="1000" spans="1:11" s="4" customFormat="1" x14ac:dyDescent="0.25">
      <c r="A1000" s="40"/>
      <c r="B1000" s="43"/>
      <c r="C1000" s="9" t="s">
        <v>21</v>
      </c>
      <c r="D1000" s="17"/>
      <c r="E1000" s="9" t="s">
        <v>21</v>
      </c>
      <c r="F1000" s="17"/>
      <c r="G1000" s="9" t="s">
        <v>21</v>
      </c>
      <c r="H1000" s="17"/>
      <c r="I1000" s="22"/>
      <c r="J1000" s="28"/>
      <c r="K1000" s="28"/>
    </row>
    <row r="1001" spans="1:11" s="4" customFormat="1" x14ac:dyDescent="0.25">
      <c r="A1001" s="40"/>
      <c r="B1001" s="43"/>
      <c r="C1001" s="12" t="s">
        <v>22</v>
      </c>
      <c r="D1001" s="17">
        <v>0</v>
      </c>
      <c r="E1001" s="12" t="s">
        <v>22</v>
      </c>
      <c r="F1001" s="17">
        <v>0</v>
      </c>
      <c r="G1001" s="12" t="s">
        <v>22</v>
      </c>
      <c r="H1001" s="17">
        <v>0</v>
      </c>
      <c r="I1001" s="22"/>
      <c r="J1001" s="28"/>
      <c r="K1001" s="28"/>
    </row>
    <row r="1002" spans="1:11" s="4" customFormat="1" x14ac:dyDescent="0.25">
      <c r="A1002" s="40"/>
      <c r="B1002" s="43"/>
      <c r="C1002" s="12" t="s">
        <v>23</v>
      </c>
      <c r="D1002" s="17">
        <v>0</v>
      </c>
      <c r="E1002" s="12" t="s">
        <v>23</v>
      </c>
      <c r="F1002" s="17">
        <v>0</v>
      </c>
      <c r="G1002" s="12" t="s">
        <v>23</v>
      </c>
      <c r="H1002" s="17">
        <v>0</v>
      </c>
      <c r="I1002" s="22"/>
      <c r="J1002" s="28"/>
      <c r="K1002" s="28"/>
    </row>
    <row r="1003" spans="1:11" s="4" customFormat="1" x14ac:dyDescent="0.25">
      <c r="A1003" s="40"/>
      <c r="B1003" s="43"/>
      <c r="C1003" s="12" t="s">
        <v>24</v>
      </c>
      <c r="D1003" s="17">
        <f>60000/1000</f>
        <v>60</v>
      </c>
      <c r="E1003" s="12" t="s">
        <v>24</v>
      </c>
      <c r="F1003" s="17">
        <v>0</v>
      </c>
      <c r="G1003" s="12" t="s">
        <v>24</v>
      </c>
      <c r="H1003" s="17">
        <v>0</v>
      </c>
      <c r="I1003" s="22"/>
      <c r="J1003" s="28"/>
      <c r="K1003" s="28"/>
    </row>
    <row r="1004" spans="1:11" s="4" customFormat="1" x14ac:dyDescent="0.25">
      <c r="A1004" s="41"/>
      <c r="B1004" s="44"/>
      <c r="C1004" s="12" t="s">
        <v>25</v>
      </c>
      <c r="D1004" s="17">
        <v>0</v>
      </c>
      <c r="E1004" s="12" t="s">
        <v>25</v>
      </c>
      <c r="F1004" s="17">
        <v>0</v>
      </c>
      <c r="G1004" s="12" t="s">
        <v>25</v>
      </c>
      <c r="H1004" s="17">
        <v>0</v>
      </c>
      <c r="I1004" s="22"/>
      <c r="J1004" s="28"/>
      <c r="K1004" s="29"/>
    </row>
    <row r="1005" spans="1:11" s="4" customFormat="1" x14ac:dyDescent="0.25">
      <c r="A1005" s="39" t="s">
        <v>350</v>
      </c>
      <c r="B1005" s="42" t="s">
        <v>351</v>
      </c>
      <c r="C1005" s="9" t="s">
        <v>28</v>
      </c>
      <c r="D1005" s="17">
        <f>D1007+D1008+D1009+D1010</f>
        <v>63</v>
      </c>
      <c r="E1005" s="9" t="s">
        <v>28</v>
      </c>
      <c r="F1005" s="17">
        <f>F1007+F1008+F1009+F1010</f>
        <v>0</v>
      </c>
      <c r="G1005" s="9" t="s">
        <v>28</v>
      </c>
      <c r="H1005" s="17">
        <f>H1007+H1008+H1009+H1010</f>
        <v>0</v>
      </c>
      <c r="I1005" s="22" t="s">
        <v>104</v>
      </c>
      <c r="J1005" s="28"/>
      <c r="K1005" s="27" t="s">
        <v>214</v>
      </c>
    </row>
    <row r="1006" spans="1:11" s="4" customFormat="1" x14ac:dyDescent="0.25">
      <c r="A1006" s="40"/>
      <c r="B1006" s="43"/>
      <c r="C1006" s="9" t="s">
        <v>21</v>
      </c>
      <c r="D1006" s="17"/>
      <c r="E1006" s="9" t="s">
        <v>21</v>
      </c>
      <c r="F1006" s="17"/>
      <c r="G1006" s="9" t="s">
        <v>21</v>
      </c>
      <c r="H1006" s="17"/>
      <c r="I1006" s="22"/>
      <c r="J1006" s="28"/>
      <c r="K1006" s="28"/>
    </row>
    <row r="1007" spans="1:11" s="4" customFormat="1" x14ac:dyDescent="0.25">
      <c r="A1007" s="40"/>
      <c r="B1007" s="43"/>
      <c r="C1007" s="12" t="s">
        <v>22</v>
      </c>
      <c r="D1007" s="17">
        <v>0</v>
      </c>
      <c r="E1007" s="12" t="s">
        <v>22</v>
      </c>
      <c r="F1007" s="17">
        <v>0</v>
      </c>
      <c r="G1007" s="12" t="s">
        <v>22</v>
      </c>
      <c r="H1007" s="17">
        <v>0</v>
      </c>
      <c r="I1007" s="22"/>
      <c r="J1007" s="28"/>
      <c r="K1007" s="28"/>
    </row>
    <row r="1008" spans="1:11" s="4" customFormat="1" x14ac:dyDescent="0.25">
      <c r="A1008" s="40"/>
      <c r="B1008" s="43"/>
      <c r="C1008" s="12" t="s">
        <v>23</v>
      </c>
      <c r="D1008" s="17">
        <v>0</v>
      </c>
      <c r="E1008" s="12" t="s">
        <v>23</v>
      </c>
      <c r="F1008" s="17">
        <v>0</v>
      </c>
      <c r="G1008" s="12" t="s">
        <v>23</v>
      </c>
      <c r="H1008" s="17">
        <v>0</v>
      </c>
      <c r="I1008" s="22"/>
      <c r="J1008" s="28"/>
      <c r="K1008" s="28"/>
    </row>
    <row r="1009" spans="1:11" s="4" customFormat="1" x14ac:dyDescent="0.25">
      <c r="A1009" s="40"/>
      <c r="B1009" s="43"/>
      <c r="C1009" s="12" t="s">
        <v>24</v>
      </c>
      <c r="D1009" s="17">
        <f>63000/1000</f>
        <v>63</v>
      </c>
      <c r="E1009" s="12" t="s">
        <v>24</v>
      </c>
      <c r="F1009" s="17">
        <v>0</v>
      </c>
      <c r="G1009" s="12" t="s">
        <v>24</v>
      </c>
      <c r="H1009" s="17">
        <v>0</v>
      </c>
      <c r="I1009" s="22"/>
      <c r="J1009" s="28"/>
      <c r="K1009" s="28"/>
    </row>
    <row r="1010" spans="1:11" s="4" customFormat="1" x14ac:dyDescent="0.25">
      <c r="A1010" s="41"/>
      <c r="B1010" s="44"/>
      <c r="C1010" s="12" t="s">
        <v>25</v>
      </c>
      <c r="D1010" s="17">
        <v>0</v>
      </c>
      <c r="E1010" s="12" t="s">
        <v>25</v>
      </c>
      <c r="F1010" s="17">
        <v>0</v>
      </c>
      <c r="G1010" s="12" t="s">
        <v>25</v>
      </c>
      <c r="H1010" s="17">
        <v>0</v>
      </c>
      <c r="I1010" s="22"/>
      <c r="J1010" s="28"/>
      <c r="K1010" s="29"/>
    </row>
    <row r="1011" spans="1:11" s="4" customFormat="1" x14ac:dyDescent="0.25">
      <c r="A1011" s="39" t="s">
        <v>352</v>
      </c>
      <c r="B1011" s="42" t="s">
        <v>353</v>
      </c>
      <c r="C1011" s="9" t="s">
        <v>28</v>
      </c>
      <c r="D1011" s="17">
        <f>D1013+D1014+D1015+D1016</f>
        <v>61</v>
      </c>
      <c r="E1011" s="9" t="s">
        <v>28</v>
      </c>
      <c r="F1011" s="17">
        <f>F1013+F1014+F1015+F1016</f>
        <v>0</v>
      </c>
      <c r="G1011" s="9" t="s">
        <v>28</v>
      </c>
      <c r="H1011" s="17">
        <f>H1013+H1014+H1015+H1016</f>
        <v>0</v>
      </c>
      <c r="I1011" s="22" t="s">
        <v>104</v>
      </c>
      <c r="J1011" s="28"/>
      <c r="K1011" s="27" t="s">
        <v>214</v>
      </c>
    </row>
    <row r="1012" spans="1:11" s="4" customFormat="1" x14ac:dyDescent="0.25">
      <c r="A1012" s="40"/>
      <c r="B1012" s="43"/>
      <c r="C1012" s="9" t="s">
        <v>21</v>
      </c>
      <c r="D1012" s="17"/>
      <c r="E1012" s="9" t="s">
        <v>21</v>
      </c>
      <c r="F1012" s="17"/>
      <c r="G1012" s="9" t="s">
        <v>21</v>
      </c>
      <c r="H1012" s="17"/>
      <c r="I1012" s="22"/>
      <c r="J1012" s="28"/>
      <c r="K1012" s="28"/>
    </row>
    <row r="1013" spans="1:11" s="4" customFormat="1" x14ac:dyDescent="0.25">
      <c r="A1013" s="40"/>
      <c r="B1013" s="43"/>
      <c r="C1013" s="12" t="s">
        <v>22</v>
      </c>
      <c r="D1013" s="17">
        <v>0</v>
      </c>
      <c r="E1013" s="12" t="s">
        <v>22</v>
      </c>
      <c r="F1013" s="17">
        <v>0</v>
      </c>
      <c r="G1013" s="12" t="s">
        <v>22</v>
      </c>
      <c r="H1013" s="17">
        <v>0</v>
      </c>
      <c r="I1013" s="22"/>
      <c r="J1013" s="28"/>
      <c r="K1013" s="28"/>
    </row>
    <row r="1014" spans="1:11" s="4" customFormat="1" x14ac:dyDescent="0.25">
      <c r="A1014" s="40"/>
      <c r="B1014" s="43"/>
      <c r="C1014" s="12" t="s">
        <v>23</v>
      </c>
      <c r="D1014" s="17">
        <v>0</v>
      </c>
      <c r="E1014" s="12" t="s">
        <v>23</v>
      </c>
      <c r="F1014" s="17">
        <v>0</v>
      </c>
      <c r="G1014" s="12" t="s">
        <v>23</v>
      </c>
      <c r="H1014" s="17">
        <v>0</v>
      </c>
      <c r="I1014" s="22"/>
      <c r="J1014" s="28"/>
      <c r="K1014" s="28"/>
    </row>
    <row r="1015" spans="1:11" s="4" customFormat="1" x14ac:dyDescent="0.25">
      <c r="A1015" s="40"/>
      <c r="B1015" s="43"/>
      <c r="C1015" s="12" t="s">
        <v>24</v>
      </c>
      <c r="D1015" s="17">
        <f>61000/1000</f>
        <v>61</v>
      </c>
      <c r="E1015" s="12" t="s">
        <v>24</v>
      </c>
      <c r="F1015" s="17">
        <v>0</v>
      </c>
      <c r="G1015" s="12" t="s">
        <v>24</v>
      </c>
      <c r="H1015" s="17">
        <v>0</v>
      </c>
      <c r="I1015" s="22"/>
      <c r="J1015" s="28"/>
      <c r="K1015" s="28"/>
    </row>
    <row r="1016" spans="1:11" s="4" customFormat="1" x14ac:dyDescent="0.25">
      <c r="A1016" s="41"/>
      <c r="B1016" s="44"/>
      <c r="C1016" s="12" t="s">
        <v>25</v>
      </c>
      <c r="D1016" s="17">
        <v>0</v>
      </c>
      <c r="E1016" s="12" t="s">
        <v>25</v>
      </c>
      <c r="F1016" s="17">
        <v>0</v>
      </c>
      <c r="G1016" s="12" t="s">
        <v>25</v>
      </c>
      <c r="H1016" s="17">
        <v>0</v>
      </c>
      <c r="I1016" s="22"/>
      <c r="J1016" s="28"/>
      <c r="K1016" s="29"/>
    </row>
    <row r="1017" spans="1:11" s="4" customFormat="1" x14ac:dyDescent="0.25">
      <c r="A1017" s="39" t="s">
        <v>354</v>
      </c>
      <c r="B1017" s="42" t="s">
        <v>355</v>
      </c>
      <c r="C1017" s="9" t="s">
        <v>28</v>
      </c>
      <c r="D1017" s="17">
        <f>D1019+D1020+D1021+D1022</f>
        <v>64</v>
      </c>
      <c r="E1017" s="9" t="s">
        <v>28</v>
      </c>
      <c r="F1017" s="17">
        <f>F1019+F1020+F1021+F1022</f>
        <v>0</v>
      </c>
      <c r="G1017" s="9" t="s">
        <v>28</v>
      </c>
      <c r="H1017" s="17">
        <f>H1019+H1020+H1021+H1022</f>
        <v>0</v>
      </c>
      <c r="I1017" s="22" t="s">
        <v>104</v>
      </c>
      <c r="J1017" s="28"/>
      <c r="K1017" s="27" t="s">
        <v>214</v>
      </c>
    </row>
    <row r="1018" spans="1:11" s="4" customFormat="1" x14ac:dyDescent="0.25">
      <c r="A1018" s="40"/>
      <c r="B1018" s="43"/>
      <c r="C1018" s="9" t="s">
        <v>21</v>
      </c>
      <c r="D1018" s="17"/>
      <c r="E1018" s="9" t="s">
        <v>21</v>
      </c>
      <c r="F1018" s="17"/>
      <c r="G1018" s="9" t="s">
        <v>21</v>
      </c>
      <c r="H1018" s="17"/>
      <c r="I1018" s="22"/>
      <c r="J1018" s="28"/>
      <c r="K1018" s="28"/>
    </row>
    <row r="1019" spans="1:11" s="4" customFormat="1" x14ac:dyDescent="0.25">
      <c r="A1019" s="40"/>
      <c r="B1019" s="43"/>
      <c r="C1019" s="12" t="s">
        <v>22</v>
      </c>
      <c r="D1019" s="17">
        <v>0</v>
      </c>
      <c r="E1019" s="12" t="s">
        <v>22</v>
      </c>
      <c r="F1019" s="17">
        <v>0</v>
      </c>
      <c r="G1019" s="12" t="s">
        <v>22</v>
      </c>
      <c r="H1019" s="17">
        <v>0</v>
      </c>
      <c r="I1019" s="22"/>
      <c r="J1019" s="28"/>
      <c r="K1019" s="28"/>
    </row>
    <row r="1020" spans="1:11" s="4" customFormat="1" x14ac:dyDescent="0.25">
      <c r="A1020" s="40"/>
      <c r="B1020" s="43"/>
      <c r="C1020" s="12" t="s">
        <v>23</v>
      </c>
      <c r="D1020" s="17">
        <v>0</v>
      </c>
      <c r="E1020" s="12" t="s">
        <v>23</v>
      </c>
      <c r="F1020" s="17">
        <v>0</v>
      </c>
      <c r="G1020" s="12" t="s">
        <v>23</v>
      </c>
      <c r="H1020" s="17">
        <v>0</v>
      </c>
      <c r="I1020" s="22"/>
      <c r="J1020" s="28"/>
      <c r="K1020" s="28"/>
    </row>
    <row r="1021" spans="1:11" s="4" customFormat="1" x14ac:dyDescent="0.25">
      <c r="A1021" s="40"/>
      <c r="B1021" s="43"/>
      <c r="C1021" s="12" t="s">
        <v>24</v>
      </c>
      <c r="D1021" s="17">
        <f>64000/1000</f>
        <v>64</v>
      </c>
      <c r="E1021" s="12" t="s">
        <v>24</v>
      </c>
      <c r="F1021" s="17">
        <v>0</v>
      </c>
      <c r="G1021" s="12" t="s">
        <v>24</v>
      </c>
      <c r="H1021" s="17">
        <v>0</v>
      </c>
      <c r="I1021" s="22"/>
      <c r="J1021" s="28"/>
      <c r="K1021" s="28"/>
    </row>
    <row r="1022" spans="1:11" s="4" customFormat="1" x14ac:dyDescent="0.25">
      <c r="A1022" s="41"/>
      <c r="B1022" s="44"/>
      <c r="C1022" s="12" t="s">
        <v>25</v>
      </c>
      <c r="D1022" s="17">
        <v>0</v>
      </c>
      <c r="E1022" s="12" t="s">
        <v>25</v>
      </c>
      <c r="F1022" s="17">
        <v>0</v>
      </c>
      <c r="G1022" s="12" t="s">
        <v>25</v>
      </c>
      <c r="H1022" s="17">
        <v>0</v>
      </c>
      <c r="I1022" s="22"/>
      <c r="J1022" s="28"/>
      <c r="K1022" s="29"/>
    </row>
    <row r="1023" spans="1:11" s="4" customFormat="1" x14ac:dyDescent="0.25">
      <c r="A1023" s="39" t="s">
        <v>356</v>
      </c>
      <c r="B1023" s="42" t="s">
        <v>357</v>
      </c>
      <c r="C1023" s="9" t="s">
        <v>28</v>
      </c>
      <c r="D1023" s="17">
        <f>D1025+D1026+D1027+D1028</f>
        <v>66</v>
      </c>
      <c r="E1023" s="9" t="s">
        <v>28</v>
      </c>
      <c r="F1023" s="17">
        <f>F1025+F1026+F1027+F1028</f>
        <v>0</v>
      </c>
      <c r="G1023" s="9" t="s">
        <v>28</v>
      </c>
      <c r="H1023" s="17">
        <f>H1025+H1026+H1027+H1028</f>
        <v>0</v>
      </c>
      <c r="I1023" s="22" t="s">
        <v>104</v>
      </c>
      <c r="J1023" s="28"/>
      <c r="K1023" s="27" t="s">
        <v>214</v>
      </c>
    </row>
    <row r="1024" spans="1:11" s="4" customFormat="1" x14ac:dyDescent="0.25">
      <c r="A1024" s="40"/>
      <c r="B1024" s="43"/>
      <c r="C1024" s="9" t="s">
        <v>21</v>
      </c>
      <c r="D1024" s="17"/>
      <c r="E1024" s="9" t="s">
        <v>21</v>
      </c>
      <c r="F1024" s="17"/>
      <c r="G1024" s="9" t="s">
        <v>21</v>
      </c>
      <c r="H1024" s="17"/>
      <c r="I1024" s="22"/>
      <c r="J1024" s="28"/>
      <c r="K1024" s="28"/>
    </row>
    <row r="1025" spans="1:11" s="4" customFormat="1" x14ac:dyDescent="0.25">
      <c r="A1025" s="40"/>
      <c r="B1025" s="43"/>
      <c r="C1025" s="12" t="s">
        <v>22</v>
      </c>
      <c r="D1025" s="17">
        <v>0</v>
      </c>
      <c r="E1025" s="12" t="s">
        <v>22</v>
      </c>
      <c r="F1025" s="17">
        <v>0</v>
      </c>
      <c r="G1025" s="12" t="s">
        <v>22</v>
      </c>
      <c r="H1025" s="17">
        <v>0</v>
      </c>
      <c r="I1025" s="22"/>
      <c r="J1025" s="28"/>
      <c r="K1025" s="28"/>
    </row>
    <row r="1026" spans="1:11" s="4" customFormat="1" x14ac:dyDescent="0.25">
      <c r="A1026" s="40"/>
      <c r="B1026" s="43"/>
      <c r="C1026" s="12" t="s">
        <v>23</v>
      </c>
      <c r="D1026" s="17">
        <v>0</v>
      </c>
      <c r="E1026" s="12" t="s">
        <v>23</v>
      </c>
      <c r="F1026" s="17">
        <v>0</v>
      </c>
      <c r="G1026" s="12" t="s">
        <v>23</v>
      </c>
      <c r="H1026" s="17">
        <v>0</v>
      </c>
      <c r="I1026" s="22"/>
      <c r="J1026" s="28"/>
      <c r="K1026" s="28"/>
    </row>
    <row r="1027" spans="1:11" s="4" customFormat="1" x14ac:dyDescent="0.25">
      <c r="A1027" s="40"/>
      <c r="B1027" s="43"/>
      <c r="C1027" s="12" t="s">
        <v>24</v>
      </c>
      <c r="D1027" s="17">
        <f>66000/1000</f>
        <v>66</v>
      </c>
      <c r="E1027" s="12" t="s">
        <v>24</v>
      </c>
      <c r="F1027" s="17">
        <v>0</v>
      </c>
      <c r="G1027" s="12" t="s">
        <v>24</v>
      </c>
      <c r="H1027" s="17">
        <v>0</v>
      </c>
      <c r="I1027" s="22"/>
      <c r="J1027" s="28"/>
      <c r="K1027" s="28"/>
    </row>
    <row r="1028" spans="1:11" s="4" customFormat="1" x14ac:dyDescent="0.25">
      <c r="A1028" s="41"/>
      <c r="B1028" s="44"/>
      <c r="C1028" s="12" t="s">
        <v>25</v>
      </c>
      <c r="D1028" s="17">
        <v>0</v>
      </c>
      <c r="E1028" s="12" t="s">
        <v>25</v>
      </c>
      <c r="F1028" s="17">
        <v>0</v>
      </c>
      <c r="G1028" s="12" t="s">
        <v>25</v>
      </c>
      <c r="H1028" s="17">
        <v>0</v>
      </c>
      <c r="I1028" s="22"/>
      <c r="J1028" s="28"/>
      <c r="K1028" s="29"/>
    </row>
    <row r="1029" spans="1:11" s="4" customFormat="1" x14ac:dyDescent="0.25">
      <c r="A1029" s="39" t="s">
        <v>358</v>
      </c>
      <c r="B1029" s="42" t="s">
        <v>359</v>
      </c>
      <c r="C1029" s="9" t="s">
        <v>28</v>
      </c>
      <c r="D1029" s="17">
        <f>D1031+D1032+D1033+D1034</f>
        <v>172.5</v>
      </c>
      <c r="E1029" s="9" t="s">
        <v>28</v>
      </c>
      <c r="F1029" s="17">
        <f>F1031+F1032+F1033+F1034</f>
        <v>0</v>
      </c>
      <c r="G1029" s="9" t="s">
        <v>28</v>
      </c>
      <c r="H1029" s="17">
        <f>H1031+H1032+H1033+H1034</f>
        <v>0</v>
      </c>
      <c r="I1029" s="22" t="s">
        <v>104</v>
      </c>
      <c r="J1029" s="28"/>
      <c r="K1029" s="27" t="s">
        <v>214</v>
      </c>
    </row>
    <row r="1030" spans="1:11" s="4" customFormat="1" x14ac:dyDescent="0.25">
      <c r="A1030" s="40"/>
      <c r="B1030" s="43"/>
      <c r="C1030" s="9" t="s">
        <v>21</v>
      </c>
      <c r="D1030" s="17"/>
      <c r="E1030" s="9" t="s">
        <v>21</v>
      </c>
      <c r="F1030" s="17"/>
      <c r="G1030" s="9" t="s">
        <v>21</v>
      </c>
      <c r="H1030" s="17"/>
      <c r="I1030" s="22"/>
      <c r="J1030" s="28"/>
      <c r="K1030" s="28"/>
    </row>
    <row r="1031" spans="1:11" s="4" customFormat="1" x14ac:dyDescent="0.25">
      <c r="A1031" s="40"/>
      <c r="B1031" s="43"/>
      <c r="C1031" s="12" t="s">
        <v>22</v>
      </c>
      <c r="D1031" s="17">
        <v>0</v>
      </c>
      <c r="E1031" s="12" t="s">
        <v>22</v>
      </c>
      <c r="F1031" s="17">
        <v>0</v>
      </c>
      <c r="G1031" s="12" t="s">
        <v>22</v>
      </c>
      <c r="H1031" s="17">
        <v>0</v>
      </c>
      <c r="I1031" s="22"/>
      <c r="J1031" s="28"/>
      <c r="K1031" s="28"/>
    </row>
    <row r="1032" spans="1:11" s="4" customFormat="1" x14ac:dyDescent="0.25">
      <c r="A1032" s="40"/>
      <c r="B1032" s="43"/>
      <c r="C1032" s="12" t="s">
        <v>23</v>
      </c>
      <c r="D1032" s="17">
        <v>0</v>
      </c>
      <c r="E1032" s="12" t="s">
        <v>23</v>
      </c>
      <c r="F1032" s="17">
        <v>0</v>
      </c>
      <c r="G1032" s="12" t="s">
        <v>23</v>
      </c>
      <c r="H1032" s="17">
        <v>0</v>
      </c>
      <c r="I1032" s="22"/>
      <c r="J1032" s="28"/>
      <c r="K1032" s="28"/>
    </row>
    <row r="1033" spans="1:11" s="4" customFormat="1" x14ac:dyDescent="0.25">
      <c r="A1033" s="40"/>
      <c r="B1033" s="43"/>
      <c r="C1033" s="12" t="s">
        <v>24</v>
      </c>
      <c r="D1033" s="17">
        <f>172500/1000</f>
        <v>172.5</v>
      </c>
      <c r="E1033" s="12" t="s">
        <v>24</v>
      </c>
      <c r="F1033" s="17">
        <v>0</v>
      </c>
      <c r="G1033" s="12" t="s">
        <v>24</v>
      </c>
      <c r="H1033" s="17">
        <v>0</v>
      </c>
      <c r="I1033" s="22"/>
      <c r="J1033" s="28"/>
      <c r="K1033" s="28"/>
    </row>
    <row r="1034" spans="1:11" s="4" customFormat="1" x14ac:dyDescent="0.25">
      <c r="A1034" s="41"/>
      <c r="B1034" s="44"/>
      <c r="C1034" s="12" t="s">
        <v>25</v>
      </c>
      <c r="D1034" s="17">
        <v>0</v>
      </c>
      <c r="E1034" s="12" t="s">
        <v>25</v>
      </c>
      <c r="F1034" s="17">
        <v>0</v>
      </c>
      <c r="G1034" s="12" t="s">
        <v>25</v>
      </c>
      <c r="H1034" s="17">
        <v>0</v>
      </c>
      <c r="I1034" s="22"/>
      <c r="J1034" s="28"/>
      <c r="K1034" s="29"/>
    </row>
    <row r="1035" spans="1:11" s="4" customFormat="1" x14ac:dyDescent="0.25">
      <c r="A1035" s="39" t="s">
        <v>360</v>
      </c>
      <c r="B1035" s="42" t="s">
        <v>361</v>
      </c>
      <c r="C1035" s="9" t="s">
        <v>28</v>
      </c>
      <c r="D1035" s="17">
        <f>D1037+D1038+D1039+D1040</f>
        <v>76.509129999999999</v>
      </c>
      <c r="E1035" s="9" t="s">
        <v>28</v>
      </c>
      <c r="F1035" s="17">
        <f>F1037+F1038+F1039+F1040</f>
        <v>0</v>
      </c>
      <c r="G1035" s="9" t="s">
        <v>28</v>
      </c>
      <c r="H1035" s="17">
        <f>H1037+H1038+H1039+H1040</f>
        <v>0</v>
      </c>
      <c r="I1035" s="22" t="s">
        <v>104</v>
      </c>
      <c r="J1035" s="28"/>
      <c r="K1035" s="27" t="s">
        <v>214</v>
      </c>
    </row>
    <row r="1036" spans="1:11" s="4" customFormat="1" x14ac:dyDescent="0.25">
      <c r="A1036" s="40"/>
      <c r="B1036" s="43"/>
      <c r="C1036" s="9" t="s">
        <v>21</v>
      </c>
      <c r="D1036" s="17"/>
      <c r="E1036" s="9" t="s">
        <v>21</v>
      </c>
      <c r="F1036" s="17"/>
      <c r="G1036" s="9" t="s">
        <v>21</v>
      </c>
      <c r="H1036" s="17"/>
      <c r="I1036" s="22"/>
      <c r="J1036" s="28"/>
      <c r="K1036" s="28"/>
    </row>
    <row r="1037" spans="1:11" s="4" customFormat="1" x14ac:dyDescent="0.25">
      <c r="A1037" s="40"/>
      <c r="B1037" s="43"/>
      <c r="C1037" s="12" t="s">
        <v>22</v>
      </c>
      <c r="D1037" s="17">
        <v>0</v>
      </c>
      <c r="E1037" s="12" t="s">
        <v>22</v>
      </c>
      <c r="F1037" s="17">
        <v>0</v>
      </c>
      <c r="G1037" s="12" t="s">
        <v>22</v>
      </c>
      <c r="H1037" s="17">
        <v>0</v>
      </c>
      <c r="I1037" s="22"/>
      <c r="J1037" s="28"/>
      <c r="K1037" s="28"/>
    </row>
    <row r="1038" spans="1:11" s="4" customFormat="1" x14ac:dyDescent="0.25">
      <c r="A1038" s="40"/>
      <c r="B1038" s="43"/>
      <c r="C1038" s="12" t="s">
        <v>23</v>
      </c>
      <c r="D1038" s="17">
        <v>0</v>
      </c>
      <c r="E1038" s="12" t="s">
        <v>23</v>
      </c>
      <c r="F1038" s="17">
        <v>0</v>
      </c>
      <c r="G1038" s="12" t="s">
        <v>23</v>
      </c>
      <c r="H1038" s="17">
        <v>0</v>
      </c>
      <c r="I1038" s="22"/>
      <c r="J1038" s="28"/>
      <c r="K1038" s="28"/>
    </row>
    <row r="1039" spans="1:11" s="4" customFormat="1" x14ac:dyDescent="0.25">
      <c r="A1039" s="40"/>
      <c r="B1039" s="43"/>
      <c r="C1039" s="12" t="s">
        <v>24</v>
      </c>
      <c r="D1039" s="17">
        <f>76509.13/1000</f>
        <v>76.509129999999999</v>
      </c>
      <c r="E1039" s="12" t="s">
        <v>24</v>
      </c>
      <c r="F1039" s="17">
        <v>0</v>
      </c>
      <c r="G1039" s="12" t="s">
        <v>24</v>
      </c>
      <c r="H1039" s="17">
        <v>0</v>
      </c>
      <c r="I1039" s="22"/>
      <c r="J1039" s="28"/>
      <c r="K1039" s="28"/>
    </row>
    <row r="1040" spans="1:11" s="4" customFormat="1" x14ac:dyDescent="0.25">
      <c r="A1040" s="41"/>
      <c r="B1040" s="44"/>
      <c r="C1040" s="12" t="s">
        <v>25</v>
      </c>
      <c r="D1040" s="17">
        <v>0</v>
      </c>
      <c r="E1040" s="12" t="s">
        <v>25</v>
      </c>
      <c r="F1040" s="17">
        <v>0</v>
      </c>
      <c r="G1040" s="12" t="s">
        <v>25</v>
      </c>
      <c r="H1040" s="17">
        <v>0</v>
      </c>
      <c r="I1040" s="22"/>
      <c r="J1040" s="28"/>
      <c r="K1040" s="29"/>
    </row>
    <row r="1041" spans="1:11" s="4" customFormat="1" x14ac:dyDescent="0.25">
      <c r="A1041" s="39" t="s">
        <v>362</v>
      </c>
      <c r="B1041" s="42" t="s">
        <v>363</v>
      </c>
      <c r="C1041" s="9" t="s">
        <v>28</v>
      </c>
      <c r="D1041" s="17">
        <f>D1043+D1044+D1045+D1046</f>
        <v>240.76017999999999</v>
      </c>
      <c r="E1041" s="9" t="s">
        <v>28</v>
      </c>
      <c r="F1041" s="17">
        <f>F1043+F1044+F1045+F1046</f>
        <v>0</v>
      </c>
      <c r="G1041" s="9" t="s">
        <v>28</v>
      </c>
      <c r="H1041" s="17">
        <f>H1043+H1044+H1045+H1046</f>
        <v>0</v>
      </c>
      <c r="I1041" s="22" t="s">
        <v>104</v>
      </c>
      <c r="J1041" s="28"/>
      <c r="K1041" s="27" t="s">
        <v>214</v>
      </c>
    </row>
    <row r="1042" spans="1:11" s="4" customFormat="1" x14ac:dyDescent="0.25">
      <c r="A1042" s="40"/>
      <c r="B1042" s="43"/>
      <c r="C1042" s="9" t="s">
        <v>21</v>
      </c>
      <c r="D1042" s="17"/>
      <c r="E1042" s="9" t="s">
        <v>21</v>
      </c>
      <c r="F1042" s="17"/>
      <c r="G1042" s="9" t="s">
        <v>21</v>
      </c>
      <c r="H1042" s="17"/>
      <c r="I1042" s="22"/>
      <c r="J1042" s="28"/>
      <c r="K1042" s="28"/>
    </row>
    <row r="1043" spans="1:11" s="4" customFormat="1" x14ac:dyDescent="0.25">
      <c r="A1043" s="40"/>
      <c r="B1043" s="43"/>
      <c r="C1043" s="12" t="s">
        <v>22</v>
      </c>
      <c r="D1043" s="17">
        <v>0</v>
      </c>
      <c r="E1043" s="12" t="s">
        <v>22</v>
      </c>
      <c r="F1043" s="17">
        <v>0</v>
      </c>
      <c r="G1043" s="12" t="s">
        <v>22</v>
      </c>
      <c r="H1043" s="17">
        <v>0</v>
      </c>
      <c r="I1043" s="22"/>
      <c r="J1043" s="28"/>
      <c r="K1043" s="28"/>
    </row>
    <row r="1044" spans="1:11" s="4" customFormat="1" x14ac:dyDescent="0.25">
      <c r="A1044" s="40"/>
      <c r="B1044" s="43"/>
      <c r="C1044" s="12" t="s">
        <v>23</v>
      </c>
      <c r="D1044" s="17">
        <v>0</v>
      </c>
      <c r="E1044" s="12" t="s">
        <v>23</v>
      </c>
      <c r="F1044" s="17">
        <v>0</v>
      </c>
      <c r="G1044" s="12" t="s">
        <v>23</v>
      </c>
      <c r="H1044" s="17">
        <v>0</v>
      </c>
      <c r="I1044" s="22"/>
      <c r="J1044" s="28"/>
      <c r="K1044" s="28"/>
    </row>
    <row r="1045" spans="1:11" s="4" customFormat="1" x14ac:dyDescent="0.25">
      <c r="A1045" s="40"/>
      <c r="B1045" s="43"/>
      <c r="C1045" s="12" t="s">
        <v>24</v>
      </c>
      <c r="D1045" s="17">
        <f>240760.18/1000</f>
        <v>240.76017999999999</v>
      </c>
      <c r="E1045" s="12" t="s">
        <v>24</v>
      </c>
      <c r="F1045" s="17">
        <v>0</v>
      </c>
      <c r="G1045" s="12" t="s">
        <v>24</v>
      </c>
      <c r="H1045" s="17">
        <v>0</v>
      </c>
      <c r="I1045" s="22"/>
      <c r="J1045" s="28"/>
      <c r="K1045" s="28"/>
    </row>
    <row r="1046" spans="1:11" s="4" customFormat="1" x14ac:dyDescent="0.25">
      <c r="A1046" s="41"/>
      <c r="B1046" s="44"/>
      <c r="C1046" s="12" t="s">
        <v>25</v>
      </c>
      <c r="D1046" s="17">
        <v>0</v>
      </c>
      <c r="E1046" s="12" t="s">
        <v>25</v>
      </c>
      <c r="F1046" s="17">
        <v>0</v>
      </c>
      <c r="G1046" s="12" t="s">
        <v>25</v>
      </c>
      <c r="H1046" s="17">
        <v>0</v>
      </c>
      <c r="I1046" s="22"/>
      <c r="J1046" s="28"/>
      <c r="K1046" s="29"/>
    </row>
    <row r="1047" spans="1:11" s="4" customFormat="1" x14ac:dyDescent="0.25">
      <c r="A1047" s="39" t="s">
        <v>364</v>
      </c>
      <c r="B1047" s="42" t="s">
        <v>365</v>
      </c>
      <c r="C1047" s="9" t="s">
        <v>28</v>
      </c>
      <c r="D1047" s="17">
        <f>D1049+D1050+D1051+D1052</f>
        <v>32.084400000000002</v>
      </c>
      <c r="E1047" s="9" t="s">
        <v>28</v>
      </c>
      <c r="F1047" s="17">
        <f>F1049+F1050+F1051+F1052</f>
        <v>0</v>
      </c>
      <c r="G1047" s="9" t="s">
        <v>28</v>
      </c>
      <c r="H1047" s="17">
        <f>H1049+H1050+H1051+H1052</f>
        <v>0</v>
      </c>
      <c r="I1047" s="22" t="s">
        <v>104</v>
      </c>
      <c r="J1047" s="28"/>
      <c r="K1047" s="27" t="s">
        <v>214</v>
      </c>
    </row>
    <row r="1048" spans="1:11" s="4" customFormat="1" x14ac:dyDescent="0.25">
      <c r="A1048" s="40"/>
      <c r="B1048" s="43"/>
      <c r="C1048" s="9" t="s">
        <v>21</v>
      </c>
      <c r="D1048" s="17"/>
      <c r="E1048" s="9" t="s">
        <v>21</v>
      </c>
      <c r="F1048" s="17"/>
      <c r="G1048" s="9" t="s">
        <v>21</v>
      </c>
      <c r="H1048" s="17"/>
      <c r="I1048" s="22"/>
      <c r="J1048" s="28"/>
      <c r="K1048" s="28"/>
    </row>
    <row r="1049" spans="1:11" s="4" customFormat="1" x14ac:dyDescent="0.25">
      <c r="A1049" s="40"/>
      <c r="B1049" s="43"/>
      <c r="C1049" s="12" t="s">
        <v>22</v>
      </c>
      <c r="D1049" s="17">
        <v>0</v>
      </c>
      <c r="E1049" s="12" t="s">
        <v>22</v>
      </c>
      <c r="F1049" s="17">
        <v>0</v>
      </c>
      <c r="G1049" s="12" t="s">
        <v>22</v>
      </c>
      <c r="H1049" s="17">
        <v>0</v>
      </c>
      <c r="I1049" s="22"/>
      <c r="J1049" s="28"/>
      <c r="K1049" s="28"/>
    </row>
    <row r="1050" spans="1:11" s="4" customFormat="1" x14ac:dyDescent="0.25">
      <c r="A1050" s="40"/>
      <c r="B1050" s="43"/>
      <c r="C1050" s="12" t="s">
        <v>23</v>
      </c>
      <c r="D1050" s="17">
        <v>0</v>
      </c>
      <c r="E1050" s="12" t="s">
        <v>23</v>
      </c>
      <c r="F1050" s="17">
        <v>0</v>
      </c>
      <c r="G1050" s="12" t="s">
        <v>23</v>
      </c>
      <c r="H1050" s="17">
        <v>0</v>
      </c>
      <c r="I1050" s="22"/>
      <c r="J1050" s="28"/>
      <c r="K1050" s="28"/>
    </row>
    <row r="1051" spans="1:11" s="4" customFormat="1" x14ac:dyDescent="0.25">
      <c r="A1051" s="40"/>
      <c r="B1051" s="43"/>
      <c r="C1051" s="12" t="s">
        <v>24</v>
      </c>
      <c r="D1051" s="17">
        <f>32084.4/1000</f>
        <v>32.084400000000002</v>
      </c>
      <c r="E1051" s="12" t="s">
        <v>24</v>
      </c>
      <c r="F1051" s="17">
        <v>0</v>
      </c>
      <c r="G1051" s="12" t="s">
        <v>24</v>
      </c>
      <c r="H1051" s="17">
        <v>0</v>
      </c>
      <c r="I1051" s="22"/>
      <c r="J1051" s="28"/>
      <c r="K1051" s="28"/>
    </row>
    <row r="1052" spans="1:11" s="4" customFormat="1" x14ac:dyDescent="0.25">
      <c r="A1052" s="41"/>
      <c r="B1052" s="44"/>
      <c r="C1052" s="12" t="s">
        <v>25</v>
      </c>
      <c r="D1052" s="17">
        <v>0</v>
      </c>
      <c r="E1052" s="12" t="s">
        <v>25</v>
      </c>
      <c r="F1052" s="17">
        <v>0</v>
      </c>
      <c r="G1052" s="12" t="s">
        <v>25</v>
      </c>
      <c r="H1052" s="17">
        <v>0</v>
      </c>
      <c r="I1052" s="22"/>
      <c r="J1052" s="28"/>
      <c r="K1052" s="29"/>
    </row>
    <row r="1053" spans="1:11" s="4" customFormat="1" x14ac:dyDescent="0.25">
      <c r="A1053" s="39" t="s">
        <v>366</v>
      </c>
      <c r="B1053" s="42" t="s">
        <v>367</v>
      </c>
      <c r="C1053" s="9" t="s">
        <v>28</v>
      </c>
      <c r="D1053" s="17">
        <f>D1055+D1056+D1057+D1058</f>
        <v>98.414119999999997</v>
      </c>
      <c r="E1053" s="9" t="s">
        <v>28</v>
      </c>
      <c r="F1053" s="17">
        <f>F1055+F1056+F1057+F1058</f>
        <v>0</v>
      </c>
      <c r="G1053" s="9" t="s">
        <v>28</v>
      </c>
      <c r="H1053" s="17">
        <f>H1055+H1056+H1057+H1058</f>
        <v>0</v>
      </c>
      <c r="I1053" s="22" t="s">
        <v>104</v>
      </c>
      <c r="J1053" s="28"/>
      <c r="K1053" s="27" t="s">
        <v>214</v>
      </c>
    </row>
    <row r="1054" spans="1:11" s="4" customFormat="1" x14ac:dyDescent="0.25">
      <c r="A1054" s="40"/>
      <c r="B1054" s="43"/>
      <c r="C1054" s="9" t="s">
        <v>21</v>
      </c>
      <c r="D1054" s="17"/>
      <c r="E1054" s="9" t="s">
        <v>21</v>
      </c>
      <c r="F1054" s="17"/>
      <c r="G1054" s="9" t="s">
        <v>21</v>
      </c>
      <c r="H1054" s="17"/>
      <c r="I1054" s="22"/>
      <c r="J1054" s="28"/>
      <c r="K1054" s="28"/>
    </row>
    <row r="1055" spans="1:11" s="4" customFormat="1" x14ac:dyDescent="0.25">
      <c r="A1055" s="40"/>
      <c r="B1055" s="43"/>
      <c r="C1055" s="12" t="s">
        <v>22</v>
      </c>
      <c r="D1055" s="17">
        <v>0</v>
      </c>
      <c r="E1055" s="12" t="s">
        <v>22</v>
      </c>
      <c r="F1055" s="17">
        <v>0</v>
      </c>
      <c r="G1055" s="12" t="s">
        <v>22</v>
      </c>
      <c r="H1055" s="17">
        <v>0</v>
      </c>
      <c r="I1055" s="22"/>
      <c r="J1055" s="28"/>
      <c r="K1055" s="28"/>
    </row>
    <row r="1056" spans="1:11" s="4" customFormat="1" x14ac:dyDescent="0.25">
      <c r="A1056" s="40"/>
      <c r="B1056" s="43"/>
      <c r="C1056" s="12" t="s">
        <v>23</v>
      </c>
      <c r="D1056" s="17">
        <v>0</v>
      </c>
      <c r="E1056" s="12" t="s">
        <v>23</v>
      </c>
      <c r="F1056" s="17">
        <v>0</v>
      </c>
      <c r="G1056" s="12" t="s">
        <v>23</v>
      </c>
      <c r="H1056" s="17">
        <v>0</v>
      </c>
      <c r="I1056" s="22"/>
      <c r="J1056" s="28"/>
      <c r="K1056" s="28"/>
    </row>
    <row r="1057" spans="1:11" s="4" customFormat="1" x14ac:dyDescent="0.25">
      <c r="A1057" s="40"/>
      <c r="B1057" s="43"/>
      <c r="C1057" s="12" t="s">
        <v>24</v>
      </c>
      <c r="D1057" s="17">
        <f>98414.12/1000</f>
        <v>98.414119999999997</v>
      </c>
      <c r="E1057" s="12" t="s">
        <v>24</v>
      </c>
      <c r="F1057" s="17">
        <v>0</v>
      </c>
      <c r="G1057" s="12" t="s">
        <v>24</v>
      </c>
      <c r="H1057" s="17">
        <v>0</v>
      </c>
      <c r="I1057" s="22"/>
      <c r="J1057" s="28"/>
      <c r="K1057" s="28"/>
    </row>
    <row r="1058" spans="1:11" s="4" customFormat="1" x14ac:dyDescent="0.25">
      <c r="A1058" s="41"/>
      <c r="B1058" s="44"/>
      <c r="C1058" s="12" t="s">
        <v>25</v>
      </c>
      <c r="D1058" s="17">
        <v>0</v>
      </c>
      <c r="E1058" s="12" t="s">
        <v>25</v>
      </c>
      <c r="F1058" s="17">
        <v>0</v>
      </c>
      <c r="G1058" s="12" t="s">
        <v>25</v>
      </c>
      <c r="H1058" s="17">
        <v>0</v>
      </c>
      <c r="I1058" s="22"/>
      <c r="J1058" s="28"/>
      <c r="K1058" s="29"/>
    </row>
    <row r="1059" spans="1:11" s="4" customFormat="1" x14ac:dyDescent="0.25">
      <c r="A1059" s="39" t="s">
        <v>368</v>
      </c>
      <c r="B1059" s="42" t="s">
        <v>369</v>
      </c>
      <c r="C1059" s="9" t="s">
        <v>28</v>
      </c>
      <c r="D1059" s="17">
        <f>D1061+D1062+D1063+D1064</f>
        <v>104.29644999999999</v>
      </c>
      <c r="E1059" s="9" t="s">
        <v>28</v>
      </c>
      <c r="F1059" s="17">
        <f>F1061+F1062+F1063+F1064</f>
        <v>0</v>
      </c>
      <c r="G1059" s="9" t="s">
        <v>28</v>
      </c>
      <c r="H1059" s="17">
        <f>H1061+H1062+H1063+H1064</f>
        <v>0</v>
      </c>
      <c r="I1059" s="22" t="s">
        <v>104</v>
      </c>
      <c r="J1059" s="28"/>
      <c r="K1059" s="27" t="s">
        <v>214</v>
      </c>
    </row>
    <row r="1060" spans="1:11" s="4" customFormat="1" x14ac:dyDescent="0.25">
      <c r="A1060" s="40"/>
      <c r="B1060" s="43"/>
      <c r="C1060" s="9" t="s">
        <v>21</v>
      </c>
      <c r="D1060" s="17"/>
      <c r="E1060" s="9" t="s">
        <v>21</v>
      </c>
      <c r="F1060" s="17"/>
      <c r="G1060" s="9" t="s">
        <v>21</v>
      </c>
      <c r="H1060" s="17"/>
      <c r="I1060" s="22"/>
      <c r="J1060" s="28"/>
      <c r="K1060" s="28"/>
    </row>
    <row r="1061" spans="1:11" s="4" customFormat="1" x14ac:dyDescent="0.25">
      <c r="A1061" s="40"/>
      <c r="B1061" s="43"/>
      <c r="C1061" s="12" t="s">
        <v>22</v>
      </c>
      <c r="D1061" s="17">
        <v>0</v>
      </c>
      <c r="E1061" s="12" t="s">
        <v>22</v>
      </c>
      <c r="F1061" s="17">
        <v>0</v>
      </c>
      <c r="G1061" s="12" t="s">
        <v>22</v>
      </c>
      <c r="H1061" s="17">
        <v>0</v>
      </c>
      <c r="I1061" s="22"/>
      <c r="J1061" s="28"/>
      <c r="K1061" s="28"/>
    </row>
    <row r="1062" spans="1:11" s="4" customFormat="1" x14ac:dyDescent="0.25">
      <c r="A1062" s="40"/>
      <c r="B1062" s="43"/>
      <c r="C1062" s="12" t="s">
        <v>23</v>
      </c>
      <c r="D1062" s="17">
        <v>0</v>
      </c>
      <c r="E1062" s="12" t="s">
        <v>23</v>
      </c>
      <c r="F1062" s="17">
        <v>0</v>
      </c>
      <c r="G1062" s="12" t="s">
        <v>23</v>
      </c>
      <c r="H1062" s="17">
        <v>0</v>
      </c>
      <c r="I1062" s="22"/>
      <c r="J1062" s="28"/>
      <c r="K1062" s="28"/>
    </row>
    <row r="1063" spans="1:11" s="4" customFormat="1" x14ac:dyDescent="0.25">
      <c r="A1063" s="40"/>
      <c r="B1063" s="43"/>
      <c r="C1063" s="12" t="s">
        <v>24</v>
      </c>
      <c r="D1063" s="17">
        <f>104296.45/1000</f>
        <v>104.29644999999999</v>
      </c>
      <c r="E1063" s="12" t="s">
        <v>24</v>
      </c>
      <c r="F1063" s="17">
        <v>0</v>
      </c>
      <c r="G1063" s="12" t="s">
        <v>24</v>
      </c>
      <c r="H1063" s="17">
        <v>0</v>
      </c>
      <c r="I1063" s="22"/>
      <c r="J1063" s="28"/>
      <c r="K1063" s="28"/>
    </row>
    <row r="1064" spans="1:11" s="4" customFormat="1" x14ac:dyDescent="0.25">
      <c r="A1064" s="41"/>
      <c r="B1064" s="44"/>
      <c r="C1064" s="12" t="s">
        <v>25</v>
      </c>
      <c r="D1064" s="17">
        <v>0</v>
      </c>
      <c r="E1064" s="12" t="s">
        <v>25</v>
      </c>
      <c r="F1064" s="17">
        <v>0</v>
      </c>
      <c r="G1064" s="12" t="s">
        <v>25</v>
      </c>
      <c r="H1064" s="17">
        <v>0</v>
      </c>
      <c r="I1064" s="22"/>
      <c r="J1064" s="28"/>
      <c r="K1064" s="29"/>
    </row>
    <row r="1065" spans="1:11" s="4" customFormat="1" x14ac:dyDescent="0.25">
      <c r="A1065" s="39" t="s">
        <v>370</v>
      </c>
      <c r="B1065" s="42" t="s">
        <v>371</v>
      </c>
      <c r="C1065" s="9" t="s">
        <v>28</v>
      </c>
      <c r="D1065" s="17">
        <f>D1067+D1068+D1069+D1070</f>
        <v>153.22695999999999</v>
      </c>
      <c r="E1065" s="9" t="s">
        <v>28</v>
      </c>
      <c r="F1065" s="17">
        <f>F1067+F1068+F1069+F1070</f>
        <v>0</v>
      </c>
      <c r="G1065" s="9" t="s">
        <v>28</v>
      </c>
      <c r="H1065" s="17">
        <f>H1067+H1068+H1069+H1070</f>
        <v>0</v>
      </c>
      <c r="I1065" s="22" t="s">
        <v>104</v>
      </c>
      <c r="J1065" s="28"/>
      <c r="K1065" s="27" t="s">
        <v>214</v>
      </c>
    </row>
    <row r="1066" spans="1:11" s="4" customFormat="1" x14ac:dyDescent="0.25">
      <c r="A1066" s="40"/>
      <c r="B1066" s="43"/>
      <c r="C1066" s="9" t="s">
        <v>21</v>
      </c>
      <c r="D1066" s="17"/>
      <c r="E1066" s="9" t="s">
        <v>21</v>
      </c>
      <c r="F1066" s="17"/>
      <c r="G1066" s="9" t="s">
        <v>21</v>
      </c>
      <c r="H1066" s="17"/>
      <c r="I1066" s="22"/>
      <c r="J1066" s="28"/>
      <c r="K1066" s="28"/>
    </row>
    <row r="1067" spans="1:11" s="4" customFormat="1" x14ac:dyDescent="0.25">
      <c r="A1067" s="40"/>
      <c r="B1067" s="43"/>
      <c r="C1067" s="12" t="s">
        <v>22</v>
      </c>
      <c r="D1067" s="17">
        <v>0</v>
      </c>
      <c r="E1067" s="12" t="s">
        <v>22</v>
      </c>
      <c r="F1067" s="17">
        <v>0</v>
      </c>
      <c r="G1067" s="12" t="s">
        <v>22</v>
      </c>
      <c r="H1067" s="17">
        <v>0</v>
      </c>
      <c r="I1067" s="22"/>
      <c r="J1067" s="28"/>
      <c r="K1067" s="28"/>
    </row>
    <row r="1068" spans="1:11" s="4" customFormat="1" x14ac:dyDescent="0.25">
      <c r="A1068" s="40"/>
      <c r="B1068" s="43"/>
      <c r="C1068" s="12" t="s">
        <v>23</v>
      </c>
      <c r="D1068" s="17">
        <v>0</v>
      </c>
      <c r="E1068" s="12" t="s">
        <v>23</v>
      </c>
      <c r="F1068" s="17">
        <v>0</v>
      </c>
      <c r="G1068" s="12" t="s">
        <v>23</v>
      </c>
      <c r="H1068" s="17">
        <v>0</v>
      </c>
      <c r="I1068" s="22"/>
      <c r="J1068" s="28"/>
      <c r="K1068" s="28"/>
    </row>
    <row r="1069" spans="1:11" s="4" customFormat="1" x14ac:dyDescent="0.25">
      <c r="A1069" s="40"/>
      <c r="B1069" s="43"/>
      <c r="C1069" s="12" t="s">
        <v>24</v>
      </c>
      <c r="D1069" s="17">
        <f>153226.96/1000</f>
        <v>153.22695999999999</v>
      </c>
      <c r="E1069" s="12" t="s">
        <v>24</v>
      </c>
      <c r="F1069" s="17">
        <v>0</v>
      </c>
      <c r="G1069" s="12" t="s">
        <v>24</v>
      </c>
      <c r="H1069" s="17">
        <v>0</v>
      </c>
      <c r="I1069" s="22"/>
      <c r="J1069" s="28"/>
      <c r="K1069" s="28"/>
    </row>
    <row r="1070" spans="1:11" s="4" customFormat="1" x14ac:dyDescent="0.25">
      <c r="A1070" s="41"/>
      <c r="B1070" s="44"/>
      <c r="C1070" s="12" t="s">
        <v>25</v>
      </c>
      <c r="D1070" s="17">
        <v>0</v>
      </c>
      <c r="E1070" s="12" t="s">
        <v>25</v>
      </c>
      <c r="F1070" s="17">
        <v>0</v>
      </c>
      <c r="G1070" s="12" t="s">
        <v>25</v>
      </c>
      <c r="H1070" s="17">
        <v>0</v>
      </c>
      <c r="I1070" s="22"/>
      <c r="J1070" s="28"/>
      <c r="K1070" s="29"/>
    </row>
    <row r="1071" spans="1:11" s="4" customFormat="1" x14ac:dyDescent="0.25">
      <c r="A1071" s="39" t="s">
        <v>372</v>
      </c>
      <c r="B1071" s="42" t="s">
        <v>373</v>
      </c>
      <c r="C1071" s="9" t="s">
        <v>28</v>
      </c>
      <c r="D1071" s="17">
        <f>D1073+D1074+D1075+D1076</f>
        <v>132.4034</v>
      </c>
      <c r="E1071" s="9" t="s">
        <v>28</v>
      </c>
      <c r="F1071" s="17">
        <f>F1073+F1074+F1075+F1076</f>
        <v>0</v>
      </c>
      <c r="G1071" s="9" t="s">
        <v>28</v>
      </c>
      <c r="H1071" s="17">
        <f>H1073+H1074+H1075+H1076</f>
        <v>0</v>
      </c>
      <c r="I1071" s="22" t="s">
        <v>104</v>
      </c>
      <c r="J1071" s="28"/>
      <c r="K1071" s="27" t="s">
        <v>214</v>
      </c>
    </row>
    <row r="1072" spans="1:11" s="4" customFormat="1" x14ac:dyDescent="0.25">
      <c r="A1072" s="40"/>
      <c r="B1072" s="43"/>
      <c r="C1072" s="9" t="s">
        <v>21</v>
      </c>
      <c r="D1072" s="17"/>
      <c r="E1072" s="9" t="s">
        <v>21</v>
      </c>
      <c r="F1072" s="17"/>
      <c r="G1072" s="9" t="s">
        <v>21</v>
      </c>
      <c r="H1072" s="17"/>
      <c r="I1072" s="22"/>
      <c r="J1072" s="28"/>
      <c r="K1072" s="28"/>
    </row>
    <row r="1073" spans="1:11" s="4" customFormat="1" x14ac:dyDescent="0.25">
      <c r="A1073" s="40"/>
      <c r="B1073" s="43"/>
      <c r="C1073" s="12" t="s">
        <v>22</v>
      </c>
      <c r="D1073" s="17">
        <v>0</v>
      </c>
      <c r="E1073" s="12" t="s">
        <v>22</v>
      </c>
      <c r="F1073" s="17">
        <v>0</v>
      </c>
      <c r="G1073" s="12" t="s">
        <v>22</v>
      </c>
      <c r="H1073" s="17">
        <v>0</v>
      </c>
      <c r="I1073" s="22"/>
      <c r="J1073" s="28"/>
      <c r="K1073" s="28"/>
    </row>
    <row r="1074" spans="1:11" s="4" customFormat="1" x14ac:dyDescent="0.25">
      <c r="A1074" s="40"/>
      <c r="B1074" s="43"/>
      <c r="C1074" s="12" t="s">
        <v>23</v>
      </c>
      <c r="D1074" s="17">
        <v>0</v>
      </c>
      <c r="E1074" s="12" t="s">
        <v>23</v>
      </c>
      <c r="F1074" s="17">
        <v>0</v>
      </c>
      <c r="G1074" s="12" t="s">
        <v>23</v>
      </c>
      <c r="H1074" s="17">
        <v>0</v>
      </c>
      <c r="I1074" s="22"/>
      <c r="J1074" s="28"/>
      <c r="K1074" s="28"/>
    </row>
    <row r="1075" spans="1:11" s="4" customFormat="1" x14ac:dyDescent="0.25">
      <c r="A1075" s="40"/>
      <c r="B1075" s="43"/>
      <c r="C1075" s="12" t="s">
        <v>24</v>
      </c>
      <c r="D1075" s="17">
        <f>132403.4/1000</f>
        <v>132.4034</v>
      </c>
      <c r="E1075" s="12" t="s">
        <v>24</v>
      </c>
      <c r="F1075" s="17">
        <v>0</v>
      </c>
      <c r="G1075" s="12" t="s">
        <v>24</v>
      </c>
      <c r="H1075" s="17">
        <v>0</v>
      </c>
      <c r="I1075" s="22"/>
      <c r="J1075" s="28"/>
      <c r="K1075" s="28"/>
    </row>
    <row r="1076" spans="1:11" s="4" customFormat="1" x14ac:dyDescent="0.25">
      <c r="A1076" s="41"/>
      <c r="B1076" s="44"/>
      <c r="C1076" s="12" t="s">
        <v>25</v>
      </c>
      <c r="D1076" s="17">
        <v>0</v>
      </c>
      <c r="E1076" s="12" t="s">
        <v>25</v>
      </c>
      <c r="F1076" s="17">
        <v>0</v>
      </c>
      <c r="G1076" s="12" t="s">
        <v>25</v>
      </c>
      <c r="H1076" s="17">
        <v>0</v>
      </c>
      <c r="I1076" s="22"/>
      <c r="J1076" s="28"/>
      <c r="K1076" s="29"/>
    </row>
    <row r="1077" spans="1:11" s="4" customFormat="1" x14ac:dyDescent="0.25">
      <c r="A1077" s="39" t="s">
        <v>374</v>
      </c>
      <c r="B1077" s="42" t="s">
        <v>375</v>
      </c>
      <c r="C1077" s="9" t="s">
        <v>28</v>
      </c>
      <c r="D1077" s="17">
        <f>D1079+D1080+D1081+D1082</f>
        <v>253.68851999999998</v>
      </c>
      <c r="E1077" s="9" t="s">
        <v>28</v>
      </c>
      <c r="F1077" s="17">
        <f>F1079+F1080+F1081+F1082</f>
        <v>0</v>
      </c>
      <c r="G1077" s="9" t="s">
        <v>28</v>
      </c>
      <c r="H1077" s="17">
        <f>H1079+H1080+H1081+H1082</f>
        <v>0</v>
      </c>
      <c r="I1077" s="22" t="s">
        <v>104</v>
      </c>
      <c r="J1077" s="28"/>
      <c r="K1077" s="27" t="s">
        <v>214</v>
      </c>
    </row>
    <row r="1078" spans="1:11" s="4" customFormat="1" x14ac:dyDescent="0.25">
      <c r="A1078" s="40"/>
      <c r="B1078" s="43"/>
      <c r="C1078" s="9" t="s">
        <v>21</v>
      </c>
      <c r="D1078" s="17"/>
      <c r="E1078" s="9" t="s">
        <v>21</v>
      </c>
      <c r="F1078" s="17"/>
      <c r="G1078" s="9" t="s">
        <v>21</v>
      </c>
      <c r="H1078" s="17"/>
      <c r="I1078" s="22"/>
      <c r="J1078" s="28"/>
      <c r="K1078" s="28"/>
    </row>
    <row r="1079" spans="1:11" s="4" customFormat="1" x14ac:dyDescent="0.25">
      <c r="A1079" s="40"/>
      <c r="B1079" s="43"/>
      <c r="C1079" s="12" t="s">
        <v>22</v>
      </c>
      <c r="D1079" s="17">
        <v>0</v>
      </c>
      <c r="E1079" s="12" t="s">
        <v>22</v>
      </c>
      <c r="F1079" s="17">
        <v>0</v>
      </c>
      <c r="G1079" s="12" t="s">
        <v>22</v>
      </c>
      <c r="H1079" s="17">
        <v>0</v>
      </c>
      <c r="I1079" s="22"/>
      <c r="J1079" s="28"/>
      <c r="K1079" s="28"/>
    </row>
    <row r="1080" spans="1:11" s="4" customFormat="1" x14ac:dyDescent="0.25">
      <c r="A1080" s="40"/>
      <c r="B1080" s="43"/>
      <c r="C1080" s="12" t="s">
        <v>23</v>
      </c>
      <c r="D1080" s="17">
        <v>0</v>
      </c>
      <c r="E1080" s="12" t="s">
        <v>23</v>
      </c>
      <c r="F1080" s="17">
        <v>0</v>
      </c>
      <c r="G1080" s="12" t="s">
        <v>23</v>
      </c>
      <c r="H1080" s="17">
        <v>0</v>
      </c>
      <c r="I1080" s="22"/>
      <c r="J1080" s="28"/>
      <c r="K1080" s="28"/>
    </row>
    <row r="1081" spans="1:11" s="4" customFormat="1" x14ac:dyDescent="0.25">
      <c r="A1081" s="40"/>
      <c r="B1081" s="43"/>
      <c r="C1081" s="12" t="s">
        <v>24</v>
      </c>
      <c r="D1081" s="17">
        <f>253688.52/1000</f>
        <v>253.68851999999998</v>
      </c>
      <c r="E1081" s="12" t="s">
        <v>24</v>
      </c>
      <c r="F1081" s="17">
        <v>0</v>
      </c>
      <c r="G1081" s="12" t="s">
        <v>24</v>
      </c>
      <c r="H1081" s="17">
        <v>0</v>
      </c>
      <c r="I1081" s="22"/>
      <c r="J1081" s="28"/>
      <c r="K1081" s="28"/>
    </row>
    <row r="1082" spans="1:11" s="4" customFormat="1" x14ac:dyDescent="0.25">
      <c r="A1082" s="41"/>
      <c r="B1082" s="44"/>
      <c r="C1082" s="12" t="s">
        <v>25</v>
      </c>
      <c r="D1082" s="17">
        <v>0</v>
      </c>
      <c r="E1082" s="12" t="s">
        <v>25</v>
      </c>
      <c r="F1082" s="17">
        <v>0</v>
      </c>
      <c r="G1082" s="12" t="s">
        <v>25</v>
      </c>
      <c r="H1082" s="17">
        <v>0</v>
      </c>
      <c r="I1082" s="22"/>
      <c r="J1082" s="28"/>
      <c r="K1082" s="29"/>
    </row>
    <row r="1083" spans="1:11" s="4" customFormat="1" x14ac:dyDescent="0.25">
      <c r="A1083" s="39" t="s">
        <v>376</v>
      </c>
      <c r="B1083" s="42" t="s">
        <v>95</v>
      </c>
      <c r="C1083" s="9" t="s">
        <v>28</v>
      </c>
      <c r="D1083" s="17">
        <f>D1085+D1086+D1087+D1088</f>
        <v>2040.8450500000001</v>
      </c>
      <c r="E1083" s="9" t="s">
        <v>28</v>
      </c>
      <c r="F1083" s="17">
        <f>F1085+F1086+F1087+F1088</f>
        <v>91258.76</v>
      </c>
      <c r="G1083" s="9" t="s">
        <v>28</v>
      </c>
      <c r="H1083" s="17">
        <f>H1085+H1086+H1087+H1088</f>
        <v>133070.70000000001</v>
      </c>
      <c r="I1083" s="22" t="s">
        <v>104</v>
      </c>
      <c r="J1083" s="28"/>
      <c r="K1083" s="27" t="s">
        <v>214</v>
      </c>
    </row>
    <row r="1084" spans="1:11" s="4" customFormat="1" x14ac:dyDescent="0.25">
      <c r="A1084" s="40"/>
      <c r="B1084" s="43"/>
      <c r="C1084" s="9" t="s">
        <v>21</v>
      </c>
      <c r="D1084" s="17"/>
      <c r="E1084" s="9" t="s">
        <v>21</v>
      </c>
      <c r="F1084" s="17"/>
      <c r="G1084" s="9" t="s">
        <v>21</v>
      </c>
      <c r="H1084" s="17"/>
      <c r="I1084" s="22"/>
      <c r="J1084" s="28"/>
      <c r="K1084" s="28"/>
    </row>
    <row r="1085" spans="1:11" s="4" customFormat="1" x14ac:dyDescent="0.25">
      <c r="A1085" s="40"/>
      <c r="B1085" s="43"/>
      <c r="C1085" s="12" t="s">
        <v>22</v>
      </c>
      <c r="D1085" s="17">
        <v>0</v>
      </c>
      <c r="E1085" s="12" t="s">
        <v>22</v>
      </c>
      <c r="F1085" s="17">
        <v>0</v>
      </c>
      <c r="G1085" s="12" t="s">
        <v>22</v>
      </c>
      <c r="H1085" s="17">
        <v>0</v>
      </c>
      <c r="I1085" s="22"/>
      <c r="J1085" s="28"/>
      <c r="K1085" s="28"/>
    </row>
    <row r="1086" spans="1:11" s="4" customFormat="1" x14ac:dyDescent="0.25">
      <c r="A1086" s="40"/>
      <c r="B1086" s="43"/>
      <c r="C1086" s="12" t="s">
        <v>23</v>
      </c>
      <c r="D1086" s="17">
        <v>0</v>
      </c>
      <c r="E1086" s="12" t="s">
        <v>23</v>
      </c>
      <c r="F1086" s="17">
        <v>0</v>
      </c>
      <c r="G1086" s="12" t="s">
        <v>23</v>
      </c>
      <c r="H1086" s="17">
        <v>0</v>
      </c>
      <c r="I1086" s="22"/>
      <c r="J1086" s="28"/>
      <c r="K1086" s="28"/>
    </row>
    <row r="1087" spans="1:11" s="4" customFormat="1" x14ac:dyDescent="0.25">
      <c r="A1087" s="40"/>
      <c r="B1087" s="43"/>
      <c r="C1087" s="12" t="s">
        <v>24</v>
      </c>
      <c r="D1087" s="17">
        <f>2040845.05/1000</f>
        <v>2040.8450500000001</v>
      </c>
      <c r="E1087" s="12" t="s">
        <v>24</v>
      </c>
      <c r="F1087" s="17">
        <v>91258.76</v>
      </c>
      <c r="G1087" s="12" t="s">
        <v>24</v>
      </c>
      <c r="H1087" s="17">
        <v>133070.70000000001</v>
      </c>
      <c r="I1087" s="22"/>
      <c r="J1087" s="28"/>
      <c r="K1087" s="28"/>
    </row>
    <row r="1088" spans="1:11" s="4" customFormat="1" x14ac:dyDescent="0.25">
      <c r="A1088" s="41"/>
      <c r="B1088" s="44"/>
      <c r="C1088" s="12" t="s">
        <v>25</v>
      </c>
      <c r="D1088" s="17">
        <v>0</v>
      </c>
      <c r="E1088" s="12" t="s">
        <v>25</v>
      </c>
      <c r="F1088" s="17">
        <v>0</v>
      </c>
      <c r="G1088" s="12" t="s">
        <v>25</v>
      </c>
      <c r="H1088" s="17">
        <v>0</v>
      </c>
      <c r="I1088" s="22"/>
      <c r="J1088" s="28"/>
      <c r="K1088" s="29"/>
    </row>
    <row r="1089" spans="1:11" s="4" customFormat="1" x14ac:dyDescent="0.25">
      <c r="A1089" s="39" t="s">
        <v>377</v>
      </c>
      <c r="B1089" s="42" t="s">
        <v>378</v>
      </c>
      <c r="C1089" s="9" t="s">
        <v>28</v>
      </c>
      <c r="D1089" s="17">
        <f>D1091+D1092+D1093+D1094</f>
        <v>9872.7000000000007</v>
      </c>
      <c r="E1089" s="9" t="s">
        <v>28</v>
      </c>
      <c r="F1089" s="17">
        <f>F1091+F1092+F1093+F1094</f>
        <v>0</v>
      </c>
      <c r="G1089" s="9" t="s">
        <v>28</v>
      </c>
      <c r="H1089" s="17">
        <f>H1091+H1092+H1093+H1094</f>
        <v>0</v>
      </c>
      <c r="I1089" s="22" t="s">
        <v>104</v>
      </c>
      <c r="J1089" s="28"/>
      <c r="K1089" s="27" t="s">
        <v>214</v>
      </c>
    </row>
    <row r="1090" spans="1:11" s="4" customFormat="1" x14ac:dyDescent="0.25">
      <c r="A1090" s="40"/>
      <c r="B1090" s="43"/>
      <c r="C1090" s="9" t="s">
        <v>21</v>
      </c>
      <c r="D1090" s="17"/>
      <c r="E1090" s="9" t="s">
        <v>21</v>
      </c>
      <c r="F1090" s="17"/>
      <c r="G1090" s="9" t="s">
        <v>21</v>
      </c>
      <c r="H1090" s="17"/>
      <c r="I1090" s="22"/>
      <c r="J1090" s="28"/>
      <c r="K1090" s="28"/>
    </row>
    <row r="1091" spans="1:11" s="4" customFormat="1" x14ac:dyDescent="0.25">
      <c r="A1091" s="40"/>
      <c r="B1091" s="43"/>
      <c r="C1091" s="12" t="s">
        <v>22</v>
      </c>
      <c r="D1091" s="17">
        <f>D1097</f>
        <v>0</v>
      </c>
      <c r="E1091" s="12" t="s">
        <v>22</v>
      </c>
      <c r="F1091" s="17">
        <f>F1097</f>
        <v>0</v>
      </c>
      <c r="G1091" s="12" t="s">
        <v>22</v>
      </c>
      <c r="H1091" s="17">
        <f>H1097</f>
        <v>0</v>
      </c>
      <c r="I1091" s="22"/>
      <c r="J1091" s="28"/>
      <c r="K1091" s="28"/>
    </row>
    <row r="1092" spans="1:11" s="4" customFormat="1" x14ac:dyDescent="0.25">
      <c r="A1092" s="40"/>
      <c r="B1092" s="43"/>
      <c r="C1092" s="12" t="s">
        <v>23</v>
      </c>
      <c r="D1092" s="17">
        <f t="shared" ref="D1092:F1094" si="48">D1098</f>
        <v>9872.7000000000007</v>
      </c>
      <c r="E1092" s="12" t="s">
        <v>23</v>
      </c>
      <c r="F1092" s="17">
        <f t="shared" si="48"/>
        <v>0</v>
      </c>
      <c r="G1092" s="12" t="s">
        <v>23</v>
      </c>
      <c r="H1092" s="17">
        <f t="shared" ref="H1092:H1094" si="49">H1098</f>
        <v>0</v>
      </c>
      <c r="I1092" s="22"/>
      <c r="J1092" s="28"/>
      <c r="K1092" s="28"/>
    </row>
    <row r="1093" spans="1:11" s="4" customFormat="1" x14ac:dyDescent="0.25">
      <c r="A1093" s="40"/>
      <c r="B1093" s="43"/>
      <c r="C1093" s="12" t="s">
        <v>24</v>
      </c>
      <c r="D1093" s="17">
        <f t="shared" si="48"/>
        <v>0</v>
      </c>
      <c r="E1093" s="12" t="s">
        <v>24</v>
      </c>
      <c r="F1093" s="17">
        <f t="shared" si="48"/>
        <v>0</v>
      </c>
      <c r="G1093" s="12" t="s">
        <v>24</v>
      </c>
      <c r="H1093" s="17">
        <f t="shared" si="49"/>
        <v>0</v>
      </c>
      <c r="I1093" s="22"/>
      <c r="J1093" s="28"/>
      <c r="K1093" s="28"/>
    </row>
    <row r="1094" spans="1:11" s="4" customFormat="1" x14ac:dyDescent="0.25">
      <c r="A1094" s="41"/>
      <c r="B1094" s="44"/>
      <c r="C1094" s="12" t="s">
        <v>25</v>
      </c>
      <c r="D1094" s="17">
        <f t="shared" si="48"/>
        <v>0</v>
      </c>
      <c r="E1094" s="12" t="s">
        <v>25</v>
      </c>
      <c r="F1094" s="17">
        <f t="shared" si="48"/>
        <v>0</v>
      </c>
      <c r="G1094" s="12" t="s">
        <v>25</v>
      </c>
      <c r="H1094" s="17">
        <f t="shared" si="49"/>
        <v>0</v>
      </c>
      <c r="I1094" s="22"/>
      <c r="J1094" s="28"/>
      <c r="K1094" s="29"/>
    </row>
    <row r="1095" spans="1:11" s="4" customFormat="1" x14ac:dyDescent="0.25">
      <c r="A1095" s="39" t="s">
        <v>379</v>
      </c>
      <c r="B1095" s="42" t="s">
        <v>95</v>
      </c>
      <c r="C1095" s="9" t="s">
        <v>28</v>
      </c>
      <c r="D1095" s="17">
        <f>D1097+D1098+D1099+D1100</f>
        <v>9872.7000000000007</v>
      </c>
      <c r="E1095" s="9" t="s">
        <v>28</v>
      </c>
      <c r="F1095" s="17">
        <f>F1097+F1098+F1099+F1100</f>
        <v>0</v>
      </c>
      <c r="G1095" s="9" t="s">
        <v>28</v>
      </c>
      <c r="H1095" s="17">
        <f>H1097+H1098+H1099+H1100</f>
        <v>0</v>
      </c>
      <c r="I1095" s="22" t="s">
        <v>104</v>
      </c>
      <c r="J1095" s="28"/>
      <c r="K1095" s="27" t="s">
        <v>214</v>
      </c>
    </row>
    <row r="1096" spans="1:11" s="4" customFormat="1" x14ac:dyDescent="0.25">
      <c r="A1096" s="40"/>
      <c r="B1096" s="43"/>
      <c r="C1096" s="9" t="s">
        <v>21</v>
      </c>
      <c r="D1096" s="17"/>
      <c r="E1096" s="9" t="s">
        <v>21</v>
      </c>
      <c r="F1096" s="17"/>
      <c r="G1096" s="9" t="s">
        <v>21</v>
      </c>
      <c r="H1096" s="17"/>
      <c r="I1096" s="22"/>
      <c r="J1096" s="28"/>
      <c r="K1096" s="28"/>
    </row>
    <row r="1097" spans="1:11" s="4" customFormat="1" x14ac:dyDescent="0.25">
      <c r="A1097" s="40"/>
      <c r="B1097" s="43"/>
      <c r="C1097" s="12" t="s">
        <v>22</v>
      </c>
      <c r="D1097" s="17">
        <v>0</v>
      </c>
      <c r="E1097" s="12" t="s">
        <v>22</v>
      </c>
      <c r="F1097" s="17">
        <v>0</v>
      </c>
      <c r="G1097" s="12" t="s">
        <v>22</v>
      </c>
      <c r="H1097" s="17">
        <v>0</v>
      </c>
      <c r="I1097" s="22"/>
      <c r="J1097" s="28"/>
      <c r="K1097" s="28"/>
    </row>
    <row r="1098" spans="1:11" s="4" customFormat="1" x14ac:dyDescent="0.25">
      <c r="A1098" s="40"/>
      <c r="B1098" s="43"/>
      <c r="C1098" s="12" t="s">
        <v>23</v>
      </c>
      <c r="D1098" s="17">
        <v>9872.7000000000007</v>
      </c>
      <c r="E1098" s="12" t="s">
        <v>23</v>
      </c>
      <c r="F1098" s="17">
        <v>0</v>
      </c>
      <c r="G1098" s="12" t="s">
        <v>23</v>
      </c>
      <c r="H1098" s="17">
        <v>0</v>
      </c>
      <c r="I1098" s="22"/>
      <c r="J1098" s="28"/>
      <c r="K1098" s="28"/>
    </row>
    <row r="1099" spans="1:11" s="4" customFormat="1" x14ac:dyDescent="0.25">
      <c r="A1099" s="40"/>
      <c r="B1099" s="43"/>
      <c r="C1099" s="12" t="s">
        <v>24</v>
      </c>
      <c r="D1099" s="17">
        <v>0</v>
      </c>
      <c r="E1099" s="12" t="s">
        <v>24</v>
      </c>
      <c r="F1099" s="17">
        <v>0</v>
      </c>
      <c r="G1099" s="12" t="s">
        <v>24</v>
      </c>
      <c r="H1099" s="17">
        <v>0</v>
      </c>
      <c r="I1099" s="22"/>
      <c r="J1099" s="28"/>
      <c r="K1099" s="28"/>
    </row>
    <row r="1100" spans="1:11" s="4" customFormat="1" x14ac:dyDescent="0.25">
      <c r="A1100" s="41"/>
      <c r="B1100" s="44"/>
      <c r="C1100" s="12" t="s">
        <v>25</v>
      </c>
      <c r="D1100" s="17">
        <v>0</v>
      </c>
      <c r="E1100" s="12" t="s">
        <v>25</v>
      </c>
      <c r="F1100" s="17">
        <v>0</v>
      </c>
      <c r="G1100" s="12" t="s">
        <v>25</v>
      </c>
      <c r="H1100" s="17">
        <v>0</v>
      </c>
      <c r="I1100" s="22"/>
      <c r="J1100" s="28"/>
      <c r="K1100" s="29"/>
    </row>
    <row r="1101" spans="1:11" s="4" customFormat="1" x14ac:dyDescent="0.25">
      <c r="A1101" s="39" t="s">
        <v>380</v>
      </c>
      <c r="B1101" s="42" t="s">
        <v>381</v>
      </c>
      <c r="C1101" s="9" t="s">
        <v>28</v>
      </c>
      <c r="D1101" s="17">
        <f>D1103+D1104+D1105+D1106</f>
        <v>3630.81</v>
      </c>
      <c r="E1101" s="9" t="s">
        <v>28</v>
      </c>
      <c r="F1101" s="17">
        <f>F1103+F1104+F1105+F1106</f>
        <v>0</v>
      </c>
      <c r="G1101" s="9" t="s">
        <v>28</v>
      </c>
      <c r="H1101" s="17">
        <f>H1103+H1104+H1105+H1106</f>
        <v>0</v>
      </c>
      <c r="I1101" s="22" t="s">
        <v>104</v>
      </c>
      <c r="J1101" s="28"/>
      <c r="K1101" s="27" t="s">
        <v>214</v>
      </c>
    </row>
    <row r="1102" spans="1:11" s="4" customFormat="1" x14ac:dyDescent="0.25">
      <c r="A1102" s="40"/>
      <c r="B1102" s="43"/>
      <c r="C1102" s="9" t="s">
        <v>21</v>
      </c>
      <c r="D1102" s="17"/>
      <c r="E1102" s="9" t="s">
        <v>21</v>
      </c>
      <c r="F1102" s="17"/>
      <c r="G1102" s="9" t="s">
        <v>21</v>
      </c>
      <c r="H1102" s="17"/>
      <c r="I1102" s="22"/>
      <c r="J1102" s="28"/>
      <c r="K1102" s="28"/>
    </row>
    <row r="1103" spans="1:11" s="4" customFormat="1" x14ac:dyDescent="0.25">
      <c r="A1103" s="40"/>
      <c r="B1103" s="43"/>
      <c r="C1103" s="12" t="s">
        <v>22</v>
      </c>
      <c r="D1103" s="17">
        <f>D1109</f>
        <v>0</v>
      </c>
      <c r="E1103" s="12" t="s">
        <v>22</v>
      </c>
      <c r="F1103" s="17">
        <f>F1109</f>
        <v>0</v>
      </c>
      <c r="G1103" s="12" t="s">
        <v>22</v>
      </c>
      <c r="H1103" s="17">
        <f>H1109</f>
        <v>0</v>
      </c>
      <c r="I1103" s="22"/>
      <c r="J1103" s="28"/>
      <c r="K1103" s="28"/>
    </row>
    <row r="1104" spans="1:11" s="4" customFormat="1" x14ac:dyDescent="0.25">
      <c r="A1104" s="40"/>
      <c r="B1104" s="43"/>
      <c r="C1104" s="12" t="s">
        <v>23</v>
      </c>
      <c r="D1104" s="17">
        <f t="shared" ref="D1104:F1106" si="50">D1110</f>
        <v>0</v>
      </c>
      <c r="E1104" s="12" t="s">
        <v>23</v>
      </c>
      <c r="F1104" s="17">
        <f t="shared" si="50"/>
        <v>0</v>
      </c>
      <c r="G1104" s="12" t="s">
        <v>23</v>
      </c>
      <c r="H1104" s="17">
        <f t="shared" ref="H1104:H1106" si="51">H1110</f>
        <v>0</v>
      </c>
      <c r="I1104" s="22"/>
      <c r="J1104" s="28"/>
      <c r="K1104" s="28"/>
    </row>
    <row r="1105" spans="1:11" s="4" customFormat="1" x14ac:dyDescent="0.25">
      <c r="A1105" s="40"/>
      <c r="B1105" s="43"/>
      <c r="C1105" s="12" t="s">
        <v>24</v>
      </c>
      <c r="D1105" s="17">
        <f t="shared" si="50"/>
        <v>3630.81</v>
      </c>
      <c r="E1105" s="12" t="s">
        <v>24</v>
      </c>
      <c r="F1105" s="17">
        <f t="shared" si="50"/>
        <v>0</v>
      </c>
      <c r="G1105" s="12" t="s">
        <v>24</v>
      </c>
      <c r="H1105" s="17">
        <f t="shared" si="51"/>
        <v>0</v>
      </c>
      <c r="I1105" s="22"/>
      <c r="J1105" s="28"/>
      <c r="K1105" s="28"/>
    </row>
    <row r="1106" spans="1:11" s="4" customFormat="1" x14ac:dyDescent="0.25">
      <c r="A1106" s="41"/>
      <c r="B1106" s="44"/>
      <c r="C1106" s="12" t="s">
        <v>25</v>
      </c>
      <c r="D1106" s="17">
        <f t="shared" si="50"/>
        <v>0</v>
      </c>
      <c r="E1106" s="12" t="s">
        <v>25</v>
      </c>
      <c r="F1106" s="17">
        <f t="shared" si="50"/>
        <v>0</v>
      </c>
      <c r="G1106" s="12" t="s">
        <v>25</v>
      </c>
      <c r="H1106" s="17">
        <f t="shared" si="51"/>
        <v>0</v>
      </c>
      <c r="I1106" s="22"/>
      <c r="J1106" s="28"/>
      <c r="K1106" s="29"/>
    </row>
    <row r="1107" spans="1:11" s="4" customFormat="1" x14ac:dyDescent="0.25">
      <c r="A1107" s="39" t="s">
        <v>382</v>
      </c>
      <c r="B1107" s="42" t="s">
        <v>95</v>
      </c>
      <c r="C1107" s="9" t="s">
        <v>28</v>
      </c>
      <c r="D1107" s="17">
        <f>D1109+D1110+D1111+D1112</f>
        <v>3630.81</v>
      </c>
      <c r="E1107" s="9" t="s">
        <v>28</v>
      </c>
      <c r="F1107" s="17">
        <f>F1109+F1110+F1111+F1112</f>
        <v>0</v>
      </c>
      <c r="G1107" s="9" t="s">
        <v>28</v>
      </c>
      <c r="H1107" s="17">
        <f>H1109+H1110+H1111+H1112</f>
        <v>0</v>
      </c>
      <c r="I1107" s="22" t="s">
        <v>104</v>
      </c>
      <c r="J1107" s="28"/>
      <c r="K1107" s="27" t="s">
        <v>214</v>
      </c>
    </row>
    <row r="1108" spans="1:11" s="4" customFormat="1" x14ac:dyDescent="0.25">
      <c r="A1108" s="40"/>
      <c r="B1108" s="43"/>
      <c r="C1108" s="9" t="s">
        <v>21</v>
      </c>
      <c r="D1108" s="17"/>
      <c r="E1108" s="9" t="s">
        <v>21</v>
      </c>
      <c r="F1108" s="17"/>
      <c r="G1108" s="9" t="s">
        <v>21</v>
      </c>
      <c r="H1108" s="17"/>
      <c r="I1108" s="22"/>
      <c r="J1108" s="28"/>
      <c r="K1108" s="28"/>
    </row>
    <row r="1109" spans="1:11" s="4" customFormat="1" x14ac:dyDescent="0.25">
      <c r="A1109" s="40"/>
      <c r="B1109" s="43"/>
      <c r="C1109" s="12" t="s">
        <v>22</v>
      </c>
      <c r="D1109" s="17">
        <v>0</v>
      </c>
      <c r="E1109" s="12" t="s">
        <v>22</v>
      </c>
      <c r="F1109" s="17">
        <v>0</v>
      </c>
      <c r="G1109" s="12" t="s">
        <v>22</v>
      </c>
      <c r="H1109" s="17">
        <v>0</v>
      </c>
      <c r="I1109" s="22"/>
      <c r="J1109" s="28"/>
      <c r="K1109" s="28"/>
    </row>
    <row r="1110" spans="1:11" s="4" customFormat="1" x14ac:dyDescent="0.25">
      <c r="A1110" s="40"/>
      <c r="B1110" s="43"/>
      <c r="C1110" s="12" t="s">
        <v>23</v>
      </c>
      <c r="D1110" s="17">
        <v>0</v>
      </c>
      <c r="E1110" s="12" t="s">
        <v>23</v>
      </c>
      <c r="F1110" s="17">
        <v>0</v>
      </c>
      <c r="G1110" s="12" t="s">
        <v>23</v>
      </c>
      <c r="H1110" s="17">
        <v>0</v>
      </c>
      <c r="I1110" s="22"/>
      <c r="J1110" s="28"/>
      <c r="K1110" s="28"/>
    </row>
    <row r="1111" spans="1:11" s="4" customFormat="1" x14ac:dyDescent="0.25">
      <c r="A1111" s="40"/>
      <c r="B1111" s="43"/>
      <c r="C1111" s="12" t="s">
        <v>24</v>
      </c>
      <c r="D1111" s="17">
        <v>3630.81</v>
      </c>
      <c r="E1111" s="12" t="s">
        <v>24</v>
      </c>
      <c r="F1111" s="17">
        <v>0</v>
      </c>
      <c r="G1111" s="12" t="s">
        <v>24</v>
      </c>
      <c r="H1111" s="17">
        <v>0</v>
      </c>
      <c r="I1111" s="22"/>
      <c r="J1111" s="28"/>
      <c r="K1111" s="28"/>
    </row>
    <row r="1112" spans="1:11" s="4" customFormat="1" x14ac:dyDescent="0.25">
      <c r="A1112" s="41"/>
      <c r="B1112" s="44"/>
      <c r="C1112" s="12" t="s">
        <v>25</v>
      </c>
      <c r="D1112" s="17">
        <v>0</v>
      </c>
      <c r="E1112" s="12" t="s">
        <v>25</v>
      </c>
      <c r="F1112" s="17">
        <v>0</v>
      </c>
      <c r="G1112" s="12" t="s">
        <v>25</v>
      </c>
      <c r="H1112" s="17">
        <v>0</v>
      </c>
      <c r="I1112" s="22"/>
      <c r="J1112" s="28"/>
      <c r="K1112" s="29"/>
    </row>
    <row r="1113" spans="1:11" s="4" customFormat="1" x14ac:dyDescent="0.25">
      <c r="A1113" s="39" t="s">
        <v>383</v>
      </c>
      <c r="B1113" s="42" t="s">
        <v>378</v>
      </c>
      <c r="C1113" s="9" t="s">
        <v>28</v>
      </c>
      <c r="D1113" s="17">
        <f>D1115+D1116+D1117+D1118</f>
        <v>886.9</v>
      </c>
      <c r="E1113" s="9" t="s">
        <v>28</v>
      </c>
      <c r="F1113" s="17">
        <f>F1115+F1116+F1117+F1118</f>
        <v>0</v>
      </c>
      <c r="G1113" s="9" t="s">
        <v>28</v>
      </c>
      <c r="H1113" s="17">
        <f>H1115+H1116+H1117+H1118</f>
        <v>0</v>
      </c>
      <c r="I1113" s="22" t="s">
        <v>104</v>
      </c>
      <c r="J1113" s="28"/>
      <c r="K1113" s="27" t="s">
        <v>214</v>
      </c>
    </row>
    <row r="1114" spans="1:11" s="4" customFormat="1" x14ac:dyDescent="0.25">
      <c r="A1114" s="40"/>
      <c r="B1114" s="43"/>
      <c r="C1114" s="9" t="s">
        <v>21</v>
      </c>
      <c r="D1114" s="17"/>
      <c r="E1114" s="9" t="s">
        <v>21</v>
      </c>
      <c r="F1114" s="17"/>
      <c r="G1114" s="9" t="s">
        <v>21</v>
      </c>
      <c r="H1114" s="17"/>
      <c r="I1114" s="22"/>
      <c r="J1114" s="28"/>
      <c r="K1114" s="28"/>
    </row>
    <row r="1115" spans="1:11" s="4" customFormat="1" x14ac:dyDescent="0.25">
      <c r="A1115" s="40"/>
      <c r="B1115" s="43"/>
      <c r="C1115" s="12" t="s">
        <v>22</v>
      </c>
      <c r="D1115" s="17">
        <f>D1121+D1127+D1133+D1139+D1145</f>
        <v>0</v>
      </c>
      <c r="E1115" s="12" t="s">
        <v>22</v>
      </c>
      <c r="F1115" s="17">
        <f>F1121+F1127+F1133+F1139+F1145</f>
        <v>0</v>
      </c>
      <c r="G1115" s="12" t="s">
        <v>22</v>
      </c>
      <c r="H1115" s="17">
        <f>H1121+H1127+H1133+H1139+H1145</f>
        <v>0</v>
      </c>
      <c r="I1115" s="22"/>
      <c r="J1115" s="28"/>
      <c r="K1115" s="28"/>
    </row>
    <row r="1116" spans="1:11" s="4" customFormat="1" x14ac:dyDescent="0.25">
      <c r="A1116" s="40"/>
      <c r="B1116" s="43"/>
      <c r="C1116" s="12" t="s">
        <v>23</v>
      </c>
      <c r="D1116" s="17">
        <f>D1122+D1128+D1134+D1140+D1146</f>
        <v>886.9</v>
      </c>
      <c r="E1116" s="12" t="s">
        <v>23</v>
      </c>
      <c r="F1116" s="17">
        <f>F1122+F1128+F1134+F1140+F1146</f>
        <v>0</v>
      </c>
      <c r="G1116" s="12" t="s">
        <v>23</v>
      </c>
      <c r="H1116" s="17">
        <f>H1122+H1128+H1134+H1140+H1146</f>
        <v>0</v>
      </c>
      <c r="I1116" s="22"/>
      <c r="J1116" s="28"/>
      <c r="K1116" s="28"/>
    </row>
    <row r="1117" spans="1:11" s="4" customFormat="1" x14ac:dyDescent="0.25">
      <c r="A1117" s="40"/>
      <c r="B1117" s="43"/>
      <c r="C1117" s="12" t="s">
        <v>24</v>
      </c>
      <c r="D1117" s="17">
        <f>D1123+D1129+D1135+D1141+D1147</f>
        <v>0</v>
      </c>
      <c r="E1117" s="12" t="s">
        <v>24</v>
      </c>
      <c r="F1117" s="17">
        <f>F1123+F1129+F1135+F1141+F1147</f>
        <v>0</v>
      </c>
      <c r="G1117" s="12" t="s">
        <v>24</v>
      </c>
      <c r="H1117" s="17">
        <f>H1123+H1129+H1135+H1141+H1147</f>
        <v>0</v>
      </c>
      <c r="I1117" s="22"/>
      <c r="J1117" s="28"/>
      <c r="K1117" s="28"/>
    </row>
    <row r="1118" spans="1:11" s="4" customFormat="1" x14ac:dyDescent="0.25">
      <c r="A1118" s="41"/>
      <c r="B1118" s="44"/>
      <c r="C1118" s="12" t="s">
        <v>25</v>
      </c>
      <c r="D1118" s="17">
        <f>D1124+D1130+D1136+D1142+D1148</f>
        <v>0</v>
      </c>
      <c r="E1118" s="12" t="s">
        <v>25</v>
      </c>
      <c r="F1118" s="17">
        <f>F1124+F1130+F1136+F1142+F1148</f>
        <v>0</v>
      </c>
      <c r="G1118" s="12" t="s">
        <v>25</v>
      </c>
      <c r="H1118" s="17">
        <f>H1124+H1130+H1136+H1142+H1148</f>
        <v>0</v>
      </c>
      <c r="I1118" s="22"/>
      <c r="J1118" s="28"/>
      <c r="K1118" s="29"/>
    </row>
    <row r="1119" spans="1:11" s="4" customFormat="1" ht="15" customHeight="1" x14ac:dyDescent="0.25">
      <c r="A1119" s="39" t="s">
        <v>384</v>
      </c>
      <c r="B1119" s="42" t="s">
        <v>385</v>
      </c>
      <c r="C1119" s="9" t="s">
        <v>28</v>
      </c>
      <c r="D1119" s="17">
        <f>D1121+D1122+D1123+D1124</f>
        <v>98.8</v>
      </c>
      <c r="E1119" s="9" t="s">
        <v>28</v>
      </c>
      <c r="F1119" s="17">
        <f>F1121+F1122+F1123+F1124</f>
        <v>0</v>
      </c>
      <c r="G1119" s="9" t="s">
        <v>28</v>
      </c>
      <c r="H1119" s="17">
        <f>H1121+H1122+H1123+H1124</f>
        <v>0</v>
      </c>
      <c r="I1119" s="27" t="s">
        <v>104</v>
      </c>
      <c r="J1119" s="28"/>
      <c r="K1119" s="27" t="s">
        <v>214</v>
      </c>
    </row>
    <row r="1120" spans="1:11" s="4" customFormat="1" x14ac:dyDescent="0.25">
      <c r="A1120" s="40"/>
      <c r="B1120" s="43"/>
      <c r="C1120" s="9" t="s">
        <v>21</v>
      </c>
      <c r="D1120" s="17"/>
      <c r="E1120" s="9" t="s">
        <v>21</v>
      </c>
      <c r="F1120" s="17"/>
      <c r="G1120" s="9" t="s">
        <v>21</v>
      </c>
      <c r="H1120" s="17"/>
      <c r="I1120" s="28"/>
      <c r="J1120" s="28"/>
      <c r="K1120" s="28"/>
    </row>
    <row r="1121" spans="1:11" s="4" customFormat="1" x14ac:dyDescent="0.25">
      <c r="A1121" s="40"/>
      <c r="B1121" s="43"/>
      <c r="C1121" s="12" t="s">
        <v>22</v>
      </c>
      <c r="D1121" s="17">
        <v>0</v>
      </c>
      <c r="E1121" s="12" t="s">
        <v>22</v>
      </c>
      <c r="F1121" s="17">
        <v>0</v>
      </c>
      <c r="G1121" s="12" t="s">
        <v>22</v>
      </c>
      <c r="H1121" s="17">
        <v>0</v>
      </c>
      <c r="I1121" s="28"/>
      <c r="J1121" s="28"/>
      <c r="K1121" s="28"/>
    </row>
    <row r="1122" spans="1:11" s="4" customFormat="1" x14ac:dyDescent="0.25">
      <c r="A1122" s="40"/>
      <c r="B1122" s="43"/>
      <c r="C1122" s="12" t="s">
        <v>23</v>
      </c>
      <c r="D1122" s="17">
        <f>98800/1000</f>
        <v>98.8</v>
      </c>
      <c r="E1122" s="12" t="s">
        <v>23</v>
      </c>
      <c r="F1122" s="17">
        <v>0</v>
      </c>
      <c r="G1122" s="12" t="s">
        <v>23</v>
      </c>
      <c r="H1122" s="17">
        <v>0</v>
      </c>
      <c r="I1122" s="28"/>
      <c r="J1122" s="28"/>
      <c r="K1122" s="28"/>
    </row>
    <row r="1123" spans="1:11" s="4" customFormat="1" x14ac:dyDescent="0.25">
      <c r="A1123" s="40"/>
      <c r="B1123" s="43"/>
      <c r="C1123" s="12" t="s">
        <v>24</v>
      </c>
      <c r="D1123" s="17">
        <v>0</v>
      </c>
      <c r="E1123" s="12" t="s">
        <v>24</v>
      </c>
      <c r="F1123" s="17">
        <v>0</v>
      </c>
      <c r="G1123" s="12" t="s">
        <v>24</v>
      </c>
      <c r="H1123" s="17">
        <v>0</v>
      </c>
      <c r="I1123" s="28"/>
      <c r="J1123" s="28"/>
      <c r="K1123" s="28"/>
    </row>
    <row r="1124" spans="1:11" s="4" customFormat="1" x14ac:dyDescent="0.25">
      <c r="A1124" s="41"/>
      <c r="B1124" s="44"/>
      <c r="C1124" s="12" t="s">
        <v>25</v>
      </c>
      <c r="D1124" s="17">
        <v>0</v>
      </c>
      <c r="E1124" s="12" t="s">
        <v>25</v>
      </c>
      <c r="F1124" s="17">
        <v>0</v>
      </c>
      <c r="G1124" s="12" t="s">
        <v>25</v>
      </c>
      <c r="H1124" s="17">
        <v>0</v>
      </c>
      <c r="I1124" s="29"/>
      <c r="J1124" s="28"/>
      <c r="K1124" s="29"/>
    </row>
    <row r="1125" spans="1:11" s="4" customFormat="1" ht="15" customHeight="1" x14ac:dyDescent="0.25">
      <c r="A1125" s="39" t="s">
        <v>386</v>
      </c>
      <c r="B1125" s="42" t="s">
        <v>387</v>
      </c>
      <c r="C1125" s="9" t="s">
        <v>28</v>
      </c>
      <c r="D1125" s="17">
        <f>D1127+D1128+D1129+D1130</f>
        <v>130.19999999999999</v>
      </c>
      <c r="E1125" s="9" t="s">
        <v>28</v>
      </c>
      <c r="F1125" s="17">
        <f>F1127+F1128+F1129+F1130</f>
        <v>0</v>
      </c>
      <c r="G1125" s="9" t="s">
        <v>28</v>
      </c>
      <c r="H1125" s="17">
        <f>H1127+H1128+H1129+H1130</f>
        <v>0</v>
      </c>
      <c r="I1125" s="27" t="s">
        <v>104</v>
      </c>
      <c r="J1125" s="28"/>
      <c r="K1125" s="27" t="s">
        <v>214</v>
      </c>
    </row>
    <row r="1126" spans="1:11" s="4" customFormat="1" x14ac:dyDescent="0.25">
      <c r="A1126" s="40"/>
      <c r="B1126" s="43"/>
      <c r="C1126" s="9" t="s">
        <v>21</v>
      </c>
      <c r="D1126" s="17"/>
      <c r="E1126" s="9" t="s">
        <v>21</v>
      </c>
      <c r="F1126" s="17"/>
      <c r="G1126" s="9" t="s">
        <v>21</v>
      </c>
      <c r="H1126" s="17"/>
      <c r="I1126" s="28"/>
      <c r="J1126" s="28"/>
      <c r="K1126" s="28"/>
    </row>
    <row r="1127" spans="1:11" s="4" customFormat="1" x14ac:dyDescent="0.25">
      <c r="A1127" s="40"/>
      <c r="B1127" s="43"/>
      <c r="C1127" s="12" t="s">
        <v>22</v>
      </c>
      <c r="D1127" s="17">
        <v>0</v>
      </c>
      <c r="E1127" s="12" t="s">
        <v>22</v>
      </c>
      <c r="F1127" s="17">
        <v>0</v>
      </c>
      <c r="G1127" s="12" t="s">
        <v>22</v>
      </c>
      <c r="H1127" s="17">
        <v>0</v>
      </c>
      <c r="I1127" s="28"/>
      <c r="J1127" s="28"/>
      <c r="K1127" s="28"/>
    </row>
    <row r="1128" spans="1:11" s="4" customFormat="1" x14ac:dyDescent="0.25">
      <c r="A1128" s="40"/>
      <c r="B1128" s="43"/>
      <c r="C1128" s="12" t="s">
        <v>23</v>
      </c>
      <c r="D1128" s="17">
        <f>130200/1000</f>
        <v>130.19999999999999</v>
      </c>
      <c r="E1128" s="12" t="s">
        <v>23</v>
      </c>
      <c r="F1128" s="17">
        <v>0</v>
      </c>
      <c r="G1128" s="12" t="s">
        <v>23</v>
      </c>
      <c r="H1128" s="17">
        <v>0</v>
      </c>
      <c r="I1128" s="28"/>
      <c r="J1128" s="28"/>
      <c r="K1128" s="28"/>
    </row>
    <row r="1129" spans="1:11" s="4" customFormat="1" x14ac:dyDescent="0.25">
      <c r="A1129" s="40"/>
      <c r="B1129" s="43"/>
      <c r="C1129" s="12" t="s">
        <v>24</v>
      </c>
      <c r="D1129" s="17">
        <v>0</v>
      </c>
      <c r="E1129" s="12" t="s">
        <v>24</v>
      </c>
      <c r="F1129" s="17">
        <v>0</v>
      </c>
      <c r="G1129" s="12" t="s">
        <v>24</v>
      </c>
      <c r="H1129" s="17">
        <v>0</v>
      </c>
      <c r="I1129" s="28"/>
      <c r="J1129" s="28"/>
      <c r="K1129" s="28"/>
    </row>
    <row r="1130" spans="1:11" s="4" customFormat="1" x14ac:dyDescent="0.25">
      <c r="A1130" s="41"/>
      <c r="B1130" s="44"/>
      <c r="C1130" s="12" t="s">
        <v>25</v>
      </c>
      <c r="D1130" s="17">
        <v>0</v>
      </c>
      <c r="E1130" s="12" t="s">
        <v>25</v>
      </c>
      <c r="F1130" s="17">
        <v>0</v>
      </c>
      <c r="G1130" s="12" t="s">
        <v>25</v>
      </c>
      <c r="H1130" s="17">
        <v>0</v>
      </c>
      <c r="I1130" s="29"/>
      <c r="J1130" s="28"/>
      <c r="K1130" s="29"/>
    </row>
    <row r="1131" spans="1:11" s="4" customFormat="1" ht="15" customHeight="1" x14ac:dyDescent="0.25">
      <c r="A1131" s="39" t="s">
        <v>388</v>
      </c>
      <c r="B1131" s="42" t="s">
        <v>389</v>
      </c>
      <c r="C1131" s="9" t="s">
        <v>28</v>
      </c>
      <c r="D1131" s="17">
        <f>D1133+D1134+D1135+D1136</f>
        <v>485.4</v>
      </c>
      <c r="E1131" s="9" t="s">
        <v>28</v>
      </c>
      <c r="F1131" s="17">
        <f>F1133+F1134+F1135+F1136</f>
        <v>0</v>
      </c>
      <c r="G1131" s="9" t="s">
        <v>28</v>
      </c>
      <c r="H1131" s="17">
        <f>H1133+H1134+H1135+H1136</f>
        <v>0</v>
      </c>
      <c r="I1131" s="27" t="s">
        <v>104</v>
      </c>
      <c r="J1131" s="28"/>
      <c r="K1131" s="27" t="s">
        <v>214</v>
      </c>
    </row>
    <row r="1132" spans="1:11" s="4" customFormat="1" x14ac:dyDescent="0.25">
      <c r="A1132" s="40"/>
      <c r="B1132" s="43"/>
      <c r="C1132" s="9" t="s">
        <v>21</v>
      </c>
      <c r="D1132" s="17"/>
      <c r="E1132" s="9" t="s">
        <v>21</v>
      </c>
      <c r="F1132" s="17"/>
      <c r="G1132" s="9" t="s">
        <v>21</v>
      </c>
      <c r="H1132" s="17"/>
      <c r="I1132" s="28"/>
      <c r="J1132" s="28"/>
      <c r="K1132" s="28"/>
    </row>
    <row r="1133" spans="1:11" s="4" customFormat="1" x14ac:dyDescent="0.25">
      <c r="A1133" s="40"/>
      <c r="B1133" s="43"/>
      <c r="C1133" s="12" t="s">
        <v>22</v>
      </c>
      <c r="D1133" s="17">
        <v>0</v>
      </c>
      <c r="E1133" s="12" t="s">
        <v>22</v>
      </c>
      <c r="F1133" s="17">
        <v>0</v>
      </c>
      <c r="G1133" s="12" t="s">
        <v>22</v>
      </c>
      <c r="H1133" s="17">
        <v>0</v>
      </c>
      <c r="I1133" s="28"/>
      <c r="J1133" s="28"/>
      <c r="K1133" s="28"/>
    </row>
    <row r="1134" spans="1:11" s="4" customFormat="1" x14ac:dyDescent="0.25">
      <c r="A1134" s="40"/>
      <c r="B1134" s="43"/>
      <c r="C1134" s="12" t="s">
        <v>23</v>
      </c>
      <c r="D1134" s="17">
        <f>485400/1000</f>
        <v>485.4</v>
      </c>
      <c r="E1134" s="12" t="s">
        <v>23</v>
      </c>
      <c r="F1134" s="17">
        <v>0</v>
      </c>
      <c r="G1134" s="12" t="s">
        <v>23</v>
      </c>
      <c r="H1134" s="17">
        <v>0</v>
      </c>
      <c r="I1134" s="28"/>
      <c r="J1134" s="28"/>
      <c r="K1134" s="28"/>
    </row>
    <row r="1135" spans="1:11" s="4" customFormat="1" x14ac:dyDescent="0.25">
      <c r="A1135" s="40"/>
      <c r="B1135" s="43"/>
      <c r="C1135" s="12" t="s">
        <v>24</v>
      </c>
      <c r="D1135" s="17">
        <v>0</v>
      </c>
      <c r="E1135" s="12" t="s">
        <v>24</v>
      </c>
      <c r="F1135" s="17">
        <v>0</v>
      </c>
      <c r="G1135" s="12" t="s">
        <v>24</v>
      </c>
      <c r="H1135" s="17">
        <v>0</v>
      </c>
      <c r="I1135" s="28"/>
      <c r="J1135" s="28"/>
      <c r="K1135" s="28"/>
    </row>
    <row r="1136" spans="1:11" s="4" customFormat="1" x14ac:dyDescent="0.25">
      <c r="A1136" s="41"/>
      <c r="B1136" s="44"/>
      <c r="C1136" s="12" t="s">
        <v>25</v>
      </c>
      <c r="D1136" s="17">
        <v>0</v>
      </c>
      <c r="E1136" s="12" t="s">
        <v>25</v>
      </c>
      <c r="F1136" s="17">
        <v>0</v>
      </c>
      <c r="G1136" s="12" t="s">
        <v>25</v>
      </c>
      <c r="H1136" s="17">
        <v>0</v>
      </c>
      <c r="I1136" s="29"/>
      <c r="J1136" s="28"/>
      <c r="K1136" s="29"/>
    </row>
    <row r="1137" spans="1:11" s="4" customFormat="1" ht="15" customHeight="1" x14ac:dyDescent="0.25">
      <c r="A1137" s="39" t="s">
        <v>390</v>
      </c>
      <c r="B1137" s="42" t="s">
        <v>391</v>
      </c>
      <c r="C1137" s="9" t="s">
        <v>28</v>
      </c>
      <c r="D1137" s="17">
        <f>D1139+D1140+D1141+D1142</f>
        <v>172.5</v>
      </c>
      <c r="E1137" s="9" t="s">
        <v>28</v>
      </c>
      <c r="F1137" s="17">
        <f>F1139+F1140+F1141+F1142</f>
        <v>0</v>
      </c>
      <c r="G1137" s="9" t="s">
        <v>28</v>
      </c>
      <c r="H1137" s="17">
        <f>H1139+H1140+H1141+H1142</f>
        <v>0</v>
      </c>
      <c r="I1137" s="27" t="s">
        <v>104</v>
      </c>
      <c r="J1137" s="28"/>
      <c r="K1137" s="27" t="s">
        <v>214</v>
      </c>
    </row>
    <row r="1138" spans="1:11" s="4" customFormat="1" x14ac:dyDescent="0.25">
      <c r="A1138" s="40"/>
      <c r="B1138" s="43"/>
      <c r="C1138" s="9" t="s">
        <v>21</v>
      </c>
      <c r="D1138" s="17"/>
      <c r="E1138" s="9" t="s">
        <v>21</v>
      </c>
      <c r="F1138" s="17"/>
      <c r="G1138" s="9" t="s">
        <v>21</v>
      </c>
      <c r="H1138" s="17"/>
      <c r="I1138" s="28"/>
      <c r="J1138" s="28"/>
      <c r="K1138" s="28"/>
    </row>
    <row r="1139" spans="1:11" s="4" customFormat="1" x14ac:dyDescent="0.25">
      <c r="A1139" s="40"/>
      <c r="B1139" s="43"/>
      <c r="C1139" s="12" t="s">
        <v>22</v>
      </c>
      <c r="D1139" s="17">
        <v>0</v>
      </c>
      <c r="E1139" s="12" t="s">
        <v>22</v>
      </c>
      <c r="F1139" s="17">
        <v>0</v>
      </c>
      <c r="G1139" s="12" t="s">
        <v>22</v>
      </c>
      <c r="H1139" s="17">
        <v>0</v>
      </c>
      <c r="I1139" s="28"/>
      <c r="J1139" s="28"/>
      <c r="K1139" s="28"/>
    </row>
    <row r="1140" spans="1:11" s="4" customFormat="1" x14ac:dyDescent="0.25">
      <c r="A1140" s="40"/>
      <c r="B1140" s="43"/>
      <c r="C1140" s="12" t="s">
        <v>23</v>
      </c>
      <c r="D1140" s="17">
        <f>172500/1000</f>
        <v>172.5</v>
      </c>
      <c r="E1140" s="12" t="s">
        <v>23</v>
      </c>
      <c r="F1140" s="17">
        <v>0</v>
      </c>
      <c r="G1140" s="12" t="s">
        <v>23</v>
      </c>
      <c r="H1140" s="17">
        <v>0</v>
      </c>
      <c r="I1140" s="28"/>
      <c r="J1140" s="28"/>
      <c r="K1140" s="28"/>
    </row>
    <row r="1141" spans="1:11" s="4" customFormat="1" x14ac:dyDescent="0.25">
      <c r="A1141" s="40"/>
      <c r="B1141" s="43"/>
      <c r="C1141" s="12" t="s">
        <v>24</v>
      </c>
      <c r="D1141" s="17">
        <v>0</v>
      </c>
      <c r="E1141" s="12" t="s">
        <v>24</v>
      </c>
      <c r="F1141" s="17">
        <v>0</v>
      </c>
      <c r="G1141" s="12" t="s">
        <v>24</v>
      </c>
      <c r="H1141" s="17">
        <v>0</v>
      </c>
      <c r="I1141" s="28"/>
      <c r="J1141" s="28"/>
      <c r="K1141" s="28"/>
    </row>
    <row r="1142" spans="1:11" s="4" customFormat="1" x14ac:dyDescent="0.25">
      <c r="A1142" s="41"/>
      <c r="B1142" s="44"/>
      <c r="C1142" s="12" t="s">
        <v>25</v>
      </c>
      <c r="D1142" s="17">
        <v>0</v>
      </c>
      <c r="E1142" s="12" t="s">
        <v>25</v>
      </c>
      <c r="F1142" s="17">
        <v>0</v>
      </c>
      <c r="G1142" s="12" t="s">
        <v>25</v>
      </c>
      <c r="H1142" s="17">
        <v>0</v>
      </c>
      <c r="I1142" s="29"/>
      <c r="J1142" s="28"/>
      <c r="K1142" s="29"/>
    </row>
    <row r="1143" spans="1:11" s="4" customFormat="1" x14ac:dyDescent="0.25">
      <c r="A1143" s="39" t="s">
        <v>392</v>
      </c>
      <c r="B1143" s="42" t="s">
        <v>95</v>
      </c>
      <c r="C1143" s="9" t="s">
        <v>28</v>
      </c>
      <c r="D1143" s="17">
        <f>D1145+D1146+D1147+D1148</f>
        <v>0</v>
      </c>
      <c r="E1143" s="9" t="s">
        <v>28</v>
      </c>
      <c r="F1143" s="17">
        <f>F1145+F1146+F1147+F1148</f>
        <v>0</v>
      </c>
      <c r="G1143" s="9" t="s">
        <v>28</v>
      </c>
      <c r="H1143" s="17">
        <f>H1145+H1146+H1147+H1148</f>
        <v>0</v>
      </c>
      <c r="I1143" s="22" t="s">
        <v>104</v>
      </c>
      <c r="J1143" s="28"/>
      <c r="K1143" s="27" t="s">
        <v>214</v>
      </c>
    </row>
    <row r="1144" spans="1:11" s="4" customFormat="1" x14ac:dyDescent="0.25">
      <c r="A1144" s="40"/>
      <c r="B1144" s="43"/>
      <c r="C1144" s="9" t="s">
        <v>21</v>
      </c>
      <c r="D1144" s="17"/>
      <c r="E1144" s="9" t="s">
        <v>21</v>
      </c>
      <c r="F1144" s="17"/>
      <c r="G1144" s="9" t="s">
        <v>21</v>
      </c>
      <c r="H1144" s="17"/>
      <c r="I1144" s="22"/>
      <c r="J1144" s="28"/>
      <c r="K1144" s="28"/>
    </row>
    <row r="1145" spans="1:11" s="4" customFormat="1" x14ac:dyDescent="0.25">
      <c r="A1145" s="40"/>
      <c r="B1145" s="43"/>
      <c r="C1145" s="12" t="s">
        <v>22</v>
      </c>
      <c r="D1145" s="17">
        <v>0</v>
      </c>
      <c r="E1145" s="12" t="s">
        <v>22</v>
      </c>
      <c r="F1145" s="17">
        <v>0</v>
      </c>
      <c r="G1145" s="12" t="s">
        <v>22</v>
      </c>
      <c r="H1145" s="17">
        <v>0</v>
      </c>
      <c r="I1145" s="22"/>
      <c r="J1145" s="28"/>
      <c r="K1145" s="28"/>
    </row>
    <row r="1146" spans="1:11" s="4" customFormat="1" x14ac:dyDescent="0.25">
      <c r="A1146" s="40"/>
      <c r="B1146" s="43"/>
      <c r="C1146" s="12" t="s">
        <v>23</v>
      </c>
      <c r="D1146" s="17">
        <v>0</v>
      </c>
      <c r="E1146" s="12" t="s">
        <v>23</v>
      </c>
      <c r="F1146" s="17">
        <v>0</v>
      </c>
      <c r="G1146" s="12" t="s">
        <v>23</v>
      </c>
      <c r="H1146" s="17">
        <v>0</v>
      </c>
      <c r="I1146" s="22"/>
      <c r="J1146" s="28"/>
      <c r="K1146" s="28"/>
    </row>
    <row r="1147" spans="1:11" s="4" customFormat="1" x14ac:dyDescent="0.25">
      <c r="A1147" s="40"/>
      <c r="B1147" s="43"/>
      <c r="C1147" s="12" t="s">
        <v>24</v>
      </c>
      <c r="D1147" s="17">
        <v>0</v>
      </c>
      <c r="E1147" s="12" t="s">
        <v>24</v>
      </c>
      <c r="F1147" s="17">
        <v>0</v>
      </c>
      <c r="G1147" s="12" t="s">
        <v>24</v>
      </c>
      <c r="H1147" s="17">
        <v>0</v>
      </c>
      <c r="I1147" s="22"/>
      <c r="J1147" s="28"/>
      <c r="K1147" s="28"/>
    </row>
    <row r="1148" spans="1:11" s="4" customFormat="1" x14ac:dyDescent="0.25">
      <c r="A1148" s="41"/>
      <c r="B1148" s="44"/>
      <c r="C1148" s="12" t="s">
        <v>25</v>
      </c>
      <c r="D1148" s="17">
        <v>0</v>
      </c>
      <c r="E1148" s="12" t="s">
        <v>25</v>
      </c>
      <c r="F1148" s="17">
        <v>0</v>
      </c>
      <c r="G1148" s="12" t="s">
        <v>25</v>
      </c>
      <c r="H1148" s="17">
        <v>0</v>
      </c>
      <c r="I1148" s="22"/>
      <c r="J1148" s="28"/>
      <c r="K1148" s="29"/>
    </row>
    <row r="1149" spans="1:11" s="4" customFormat="1" x14ac:dyDescent="0.25">
      <c r="A1149" s="39" t="s">
        <v>393</v>
      </c>
      <c r="B1149" s="42" t="s">
        <v>381</v>
      </c>
      <c r="C1149" s="9" t="s">
        <v>28</v>
      </c>
      <c r="D1149" s="17">
        <f>D1151+D1152+D1153+D1154</f>
        <v>887</v>
      </c>
      <c r="E1149" s="9" t="s">
        <v>28</v>
      </c>
      <c r="F1149" s="17">
        <f>F1151+F1152+F1153+F1154</f>
        <v>0</v>
      </c>
      <c r="G1149" s="9" t="s">
        <v>28</v>
      </c>
      <c r="H1149" s="17">
        <f>H1151+H1152+H1153+H1154</f>
        <v>0</v>
      </c>
      <c r="I1149" s="22" t="s">
        <v>104</v>
      </c>
      <c r="J1149" s="28"/>
      <c r="K1149" s="27" t="s">
        <v>214</v>
      </c>
    </row>
    <row r="1150" spans="1:11" s="4" customFormat="1" x14ac:dyDescent="0.25">
      <c r="A1150" s="40"/>
      <c r="B1150" s="43"/>
      <c r="C1150" s="9" t="s">
        <v>21</v>
      </c>
      <c r="D1150" s="17"/>
      <c r="E1150" s="9" t="s">
        <v>21</v>
      </c>
      <c r="F1150" s="17"/>
      <c r="G1150" s="9" t="s">
        <v>21</v>
      </c>
      <c r="H1150" s="17"/>
      <c r="I1150" s="22"/>
      <c r="J1150" s="28"/>
      <c r="K1150" s="28"/>
    </row>
    <row r="1151" spans="1:11" s="4" customFormat="1" x14ac:dyDescent="0.25">
      <c r="A1151" s="40"/>
      <c r="B1151" s="43"/>
      <c r="C1151" s="12" t="s">
        <v>22</v>
      </c>
      <c r="D1151" s="17">
        <f>D1157+D1163+D1169+D1175+D1181</f>
        <v>0</v>
      </c>
      <c r="E1151" s="12" t="s">
        <v>22</v>
      </c>
      <c r="F1151" s="17">
        <f>F1157+F1163+F1169+F1175+F1181</f>
        <v>0</v>
      </c>
      <c r="G1151" s="12" t="s">
        <v>22</v>
      </c>
      <c r="H1151" s="17">
        <f>H1157+H1163+H1169+H1175+H1181</f>
        <v>0</v>
      </c>
      <c r="I1151" s="22"/>
      <c r="J1151" s="28"/>
      <c r="K1151" s="28"/>
    </row>
    <row r="1152" spans="1:11" s="4" customFormat="1" x14ac:dyDescent="0.25">
      <c r="A1152" s="40"/>
      <c r="B1152" s="43"/>
      <c r="C1152" s="12" t="s">
        <v>23</v>
      </c>
      <c r="D1152" s="17">
        <f t="shared" ref="D1152:D1154" si="52">D1158+D1164+D1170+D1176+D1182</f>
        <v>0</v>
      </c>
      <c r="E1152" s="12" t="s">
        <v>23</v>
      </c>
      <c r="F1152" s="17">
        <f t="shared" ref="F1152:F1154" si="53">F1158+F1164+F1170+F1176+F1182</f>
        <v>0</v>
      </c>
      <c r="G1152" s="12" t="s">
        <v>23</v>
      </c>
      <c r="H1152" s="17">
        <f t="shared" ref="H1152:H1154" si="54">H1158+H1164+H1170+H1176+H1182</f>
        <v>0</v>
      </c>
      <c r="I1152" s="22"/>
      <c r="J1152" s="28"/>
      <c r="K1152" s="28"/>
    </row>
    <row r="1153" spans="1:11" s="4" customFormat="1" x14ac:dyDescent="0.25">
      <c r="A1153" s="40"/>
      <c r="B1153" s="43"/>
      <c r="C1153" s="12" t="s">
        <v>24</v>
      </c>
      <c r="D1153" s="17">
        <f t="shared" si="52"/>
        <v>887</v>
      </c>
      <c r="E1153" s="12" t="s">
        <v>24</v>
      </c>
      <c r="F1153" s="17">
        <f t="shared" si="53"/>
        <v>0</v>
      </c>
      <c r="G1153" s="12" t="s">
        <v>24</v>
      </c>
      <c r="H1153" s="17">
        <f t="shared" si="54"/>
        <v>0</v>
      </c>
      <c r="I1153" s="22"/>
      <c r="J1153" s="28"/>
      <c r="K1153" s="28"/>
    </row>
    <row r="1154" spans="1:11" s="4" customFormat="1" x14ac:dyDescent="0.25">
      <c r="A1154" s="41"/>
      <c r="B1154" s="44"/>
      <c r="C1154" s="12" t="s">
        <v>25</v>
      </c>
      <c r="D1154" s="17">
        <f t="shared" si="52"/>
        <v>0</v>
      </c>
      <c r="E1154" s="12" t="s">
        <v>25</v>
      </c>
      <c r="F1154" s="17">
        <f t="shared" si="53"/>
        <v>0</v>
      </c>
      <c r="G1154" s="12" t="s">
        <v>25</v>
      </c>
      <c r="H1154" s="17">
        <f t="shared" si="54"/>
        <v>0</v>
      </c>
      <c r="I1154" s="22"/>
      <c r="J1154" s="28"/>
      <c r="K1154" s="29"/>
    </row>
    <row r="1155" spans="1:11" s="4" customFormat="1" x14ac:dyDescent="0.25">
      <c r="A1155" s="39" t="s">
        <v>394</v>
      </c>
      <c r="B1155" s="42" t="s">
        <v>385</v>
      </c>
      <c r="C1155" s="9" t="s">
        <v>28</v>
      </c>
      <c r="D1155" s="17">
        <f>D1157+D1158+D1159+D1160</f>
        <v>98.8</v>
      </c>
      <c r="E1155" s="9" t="s">
        <v>28</v>
      </c>
      <c r="F1155" s="17">
        <f>F1157+F1158+F1159+F1160</f>
        <v>0</v>
      </c>
      <c r="G1155" s="9" t="s">
        <v>28</v>
      </c>
      <c r="H1155" s="17">
        <f>H1157+H1158+H1159+H1160</f>
        <v>0</v>
      </c>
      <c r="I1155" s="22" t="s">
        <v>104</v>
      </c>
      <c r="J1155" s="28"/>
      <c r="K1155" s="27" t="s">
        <v>214</v>
      </c>
    </row>
    <row r="1156" spans="1:11" s="4" customFormat="1" x14ac:dyDescent="0.25">
      <c r="A1156" s="40"/>
      <c r="B1156" s="43"/>
      <c r="C1156" s="9" t="s">
        <v>21</v>
      </c>
      <c r="D1156" s="17"/>
      <c r="E1156" s="9" t="s">
        <v>21</v>
      </c>
      <c r="F1156" s="17"/>
      <c r="G1156" s="9" t="s">
        <v>21</v>
      </c>
      <c r="H1156" s="17"/>
      <c r="I1156" s="22"/>
      <c r="J1156" s="28"/>
      <c r="K1156" s="28"/>
    </row>
    <row r="1157" spans="1:11" s="4" customFormat="1" x14ac:dyDescent="0.25">
      <c r="A1157" s="40"/>
      <c r="B1157" s="43"/>
      <c r="C1157" s="12" t="s">
        <v>22</v>
      </c>
      <c r="D1157" s="17">
        <v>0</v>
      </c>
      <c r="E1157" s="12" t="s">
        <v>22</v>
      </c>
      <c r="F1157" s="17">
        <v>0</v>
      </c>
      <c r="G1157" s="12" t="s">
        <v>22</v>
      </c>
      <c r="H1157" s="17">
        <v>0</v>
      </c>
      <c r="I1157" s="22"/>
      <c r="J1157" s="28"/>
      <c r="K1157" s="28"/>
    </row>
    <row r="1158" spans="1:11" s="4" customFormat="1" x14ac:dyDescent="0.25">
      <c r="A1158" s="40"/>
      <c r="B1158" s="43"/>
      <c r="C1158" s="12" t="s">
        <v>23</v>
      </c>
      <c r="D1158" s="17">
        <v>0</v>
      </c>
      <c r="E1158" s="12" t="s">
        <v>23</v>
      </c>
      <c r="F1158" s="17">
        <v>0</v>
      </c>
      <c r="G1158" s="12" t="s">
        <v>23</v>
      </c>
      <c r="H1158" s="17">
        <v>0</v>
      </c>
      <c r="I1158" s="22"/>
      <c r="J1158" s="28"/>
      <c r="K1158" s="28"/>
    </row>
    <row r="1159" spans="1:11" s="4" customFormat="1" x14ac:dyDescent="0.25">
      <c r="A1159" s="40"/>
      <c r="B1159" s="43"/>
      <c r="C1159" s="12" t="s">
        <v>24</v>
      </c>
      <c r="D1159" s="17">
        <f>98800/1000</f>
        <v>98.8</v>
      </c>
      <c r="E1159" s="12" t="s">
        <v>24</v>
      </c>
      <c r="F1159" s="17">
        <v>0</v>
      </c>
      <c r="G1159" s="12" t="s">
        <v>24</v>
      </c>
      <c r="H1159" s="17">
        <v>0</v>
      </c>
      <c r="I1159" s="22"/>
      <c r="J1159" s="28"/>
      <c r="K1159" s="28"/>
    </row>
    <row r="1160" spans="1:11" s="4" customFormat="1" x14ac:dyDescent="0.25">
      <c r="A1160" s="41"/>
      <c r="B1160" s="44"/>
      <c r="C1160" s="12" t="s">
        <v>25</v>
      </c>
      <c r="D1160" s="17">
        <v>0</v>
      </c>
      <c r="E1160" s="12" t="s">
        <v>25</v>
      </c>
      <c r="F1160" s="17">
        <v>0</v>
      </c>
      <c r="G1160" s="12" t="s">
        <v>25</v>
      </c>
      <c r="H1160" s="17">
        <v>0</v>
      </c>
      <c r="I1160" s="22"/>
      <c r="J1160" s="28"/>
      <c r="K1160" s="29"/>
    </row>
    <row r="1161" spans="1:11" s="4" customFormat="1" x14ac:dyDescent="0.25">
      <c r="A1161" s="39" t="s">
        <v>395</v>
      </c>
      <c r="B1161" s="42" t="s">
        <v>387</v>
      </c>
      <c r="C1161" s="9" t="s">
        <v>28</v>
      </c>
      <c r="D1161" s="17">
        <f>D1163+D1164+D1165+D1166</f>
        <v>130.19999999999999</v>
      </c>
      <c r="E1161" s="9" t="s">
        <v>28</v>
      </c>
      <c r="F1161" s="17">
        <f>F1163+F1164+F1165+F1166</f>
        <v>0</v>
      </c>
      <c r="G1161" s="9" t="s">
        <v>28</v>
      </c>
      <c r="H1161" s="17">
        <f>H1163+H1164+H1165+H1166</f>
        <v>0</v>
      </c>
      <c r="I1161" s="22" t="s">
        <v>104</v>
      </c>
      <c r="J1161" s="28"/>
      <c r="K1161" s="27" t="s">
        <v>214</v>
      </c>
    </row>
    <row r="1162" spans="1:11" s="4" customFormat="1" x14ac:dyDescent="0.25">
      <c r="A1162" s="40"/>
      <c r="B1162" s="43"/>
      <c r="C1162" s="9" t="s">
        <v>21</v>
      </c>
      <c r="D1162" s="17"/>
      <c r="E1162" s="9" t="s">
        <v>21</v>
      </c>
      <c r="F1162" s="17"/>
      <c r="G1162" s="9" t="s">
        <v>21</v>
      </c>
      <c r="H1162" s="17"/>
      <c r="I1162" s="22"/>
      <c r="J1162" s="28"/>
      <c r="K1162" s="28"/>
    </row>
    <row r="1163" spans="1:11" s="4" customFormat="1" x14ac:dyDescent="0.25">
      <c r="A1163" s="40"/>
      <c r="B1163" s="43"/>
      <c r="C1163" s="12" t="s">
        <v>22</v>
      </c>
      <c r="D1163" s="17">
        <v>0</v>
      </c>
      <c r="E1163" s="12" t="s">
        <v>22</v>
      </c>
      <c r="F1163" s="17">
        <v>0</v>
      </c>
      <c r="G1163" s="12" t="s">
        <v>22</v>
      </c>
      <c r="H1163" s="17">
        <v>0</v>
      </c>
      <c r="I1163" s="22"/>
      <c r="J1163" s="28"/>
      <c r="K1163" s="28"/>
    </row>
    <row r="1164" spans="1:11" s="4" customFormat="1" x14ac:dyDescent="0.25">
      <c r="A1164" s="40"/>
      <c r="B1164" s="43"/>
      <c r="C1164" s="12" t="s">
        <v>23</v>
      </c>
      <c r="D1164" s="17">
        <v>0</v>
      </c>
      <c r="E1164" s="12" t="s">
        <v>23</v>
      </c>
      <c r="F1164" s="17">
        <v>0</v>
      </c>
      <c r="G1164" s="12" t="s">
        <v>23</v>
      </c>
      <c r="H1164" s="17">
        <v>0</v>
      </c>
      <c r="I1164" s="22"/>
      <c r="J1164" s="28"/>
      <c r="K1164" s="28"/>
    </row>
    <row r="1165" spans="1:11" s="4" customFormat="1" x14ac:dyDescent="0.25">
      <c r="A1165" s="40"/>
      <c r="B1165" s="43"/>
      <c r="C1165" s="12" t="s">
        <v>24</v>
      </c>
      <c r="D1165" s="17">
        <f>130200/1000</f>
        <v>130.19999999999999</v>
      </c>
      <c r="E1165" s="12" t="s">
        <v>24</v>
      </c>
      <c r="F1165" s="17">
        <v>0</v>
      </c>
      <c r="G1165" s="12" t="s">
        <v>24</v>
      </c>
      <c r="H1165" s="17">
        <v>0</v>
      </c>
      <c r="I1165" s="22"/>
      <c r="J1165" s="28"/>
      <c r="K1165" s="28"/>
    </row>
    <row r="1166" spans="1:11" s="4" customFormat="1" x14ac:dyDescent="0.25">
      <c r="A1166" s="41"/>
      <c r="B1166" s="44"/>
      <c r="C1166" s="12" t="s">
        <v>25</v>
      </c>
      <c r="D1166" s="17">
        <v>0</v>
      </c>
      <c r="E1166" s="12" t="s">
        <v>25</v>
      </c>
      <c r="F1166" s="17">
        <v>0</v>
      </c>
      <c r="G1166" s="12" t="s">
        <v>25</v>
      </c>
      <c r="H1166" s="17">
        <v>0</v>
      </c>
      <c r="I1166" s="22"/>
      <c r="J1166" s="28"/>
      <c r="K1166" s="29"/>
    </row>
    <row r="1167" spans="1:11" s="4" customFormat="1" x14ac:dyDescent="0.25">
      <c r="A1167" s="39" t="s">
        <v>396</v>
      </c>
      <c r="B1167" s="42" t="s">
        <v>389</v>
      </c>
      <c r="C1167" s="9" t="s">
        <v>28</v>
      </c>
      <c r="D1167" s="17">
        <f>D1169+D1170+D1171+D1172</f>
        <v>485.5</v>
      </c>
      <c r="E1167" s="9" t="s">
        <v>28</v>
      </c>
      <c r="F1167" s="17">
        <f>F1169+F1170+F1171+F1172</f>
        <v>0</v>
      </c>
      <c r="G1167" s="9" t="s">
        <v>28</v>
      </c>
      <c r="H1167" s="17">
        <f>H1169+H1170+H1171+H1172</f>
        <v>0</v>
      </c>
      <c r="I1167" s="22" t="s">
        <v>104</v>
      </c>
      <c r="J1167" s="28"/>
      <c r="K1167" s="27" t="s">
        <v>214</v>
      </c>
    </row>
    <row r="1168" spans="1:11" s="4" customFormat="1" x14ac:dyDescent="0.25">
      <c r="A1168" s="40"/>
      <c r="B1168" s="43"/>
      <c r="C1168" s="9" t="s">
        <v>21</v>
      </c>
      <c r="D1168" s="17"/>
      <c r="E1168" s="9" t="s">
        <v>21</v>
      </c>
      <c r="F1168" s="17"/>
      <c r="G1168" s="9" t="s">
        <v>21</v>
      </c>
      <c r="H1168" s="17"/>
      <c r="I1168" s="22"/>
      <c r="J1168" s="28"/>
      <c r="K1168" s="28"/>
    </row>
    <row r="1169" spans="1:11" s="4" customFormat="1" x14ac:dyDescent="0.25">
      <c r="A1169" s="40"/>
      <c r="B1169" s="43"/>
      <c r="C1169" s="12" t="s">
        <v>22</v>
      </c>
      <c r="D1169" s="17">
        <v>0</v>
      </c>
      <c r="E1169" s="12" t="s">
        <v>22</v>
      </c>
      <c r="F1169" s="17">
        <v>0</v>
      </c>
      <c r="G1169" s="12" t="s">
        <v>22</v>
      </c>
      <c r="H1169" s="17">
        <v>0</v>
      </c>
      <c r="I1169" s="22"/>
      <c r="J1169" s="28"/>
      <c r="K1169" s="28"/>
    </row>
    <row r="1170" spans="1:11" s="4" customFormat="1" x14ac:dyDescent="0.25">
      <c r="A1170" s="40"/>
      <c r="B1170" s="43"/>
      <c r="C1170" s="12" t="s">
        <v>23</v>
      </c>
      <c r="D1170" s="17">
        <v>0</v>
      </c>
      <c r="E1170" s="12" t="s">
        <v>23</v>
      </c>
      <c r="F1170" s="17">
        <v>0</v>
      </c>
      <c r="G1170" s="12" t="s">
        <v>23</v>
      </c>
      <c r="H1170" s="17">
        <v>0</v>
      </c>
      <c r="I1170" s="22"/>
      <c r="J1170" s="28"/>
      <c r="K1170" s="28"/>
    </row>
    <row r="1171" spans="1:11" s="4" customFormat="1" x14ac:dyDescent="0.25">
      <c r="A1171" s="40"/>
      <c r="B1171" s="43"/>
      <c r="C1171" s="12" t="s">
        <v>24</v>
      </c>
      <c r="D1171" s="17">
        <f>485500/1000</f>
        <v>485.5</v>
      </c>
      <c r="E1171" s="12" t="s">
        <v>24</v>
      </c>
      <c r="F1171" s="17">
        <v>0</v>
      </c>
      <c r="G1171" s="12" t="s">
        <v>24</v>
      </c>
      <c r="H1171" s="17">
        <v>0</v>
      </c>
      <c r="I1171" s="22"/>
      <c r="J1171" s="28"/>
      <c r="K1171" s="28"/>
    </row>
    <row r="1172" spans="1:11" s="4" customFormat="1" x14ac:dyDescent="0.25">
      <c r="A1172" s="41"/>
      <c r="B1172" s="44"/>
      <c r="C1172" s="12" t="s">
        <v>25</v>
      </c>
      <c r="D1172" s="17">
        <v>0</v>
      </c>
      <c r="E1172" s="12" t="s">
        <v>25</v>
      </c>
      <c r="F1172" s="17">
        <v>0</v>
      </c>
      <c r="G1172" s="12" t="s">
        <v>25</v>
      </c>
      <c r="H1172" s="17">
        <v>0</v>
      </c>
      <c r="I1172" s="22"/>
      <c r="J1172" s="28"/>
      <c r="K1172" s="29"/>
    </row>
    <row r="1173" spans="1:11" s="4" customFormat="1" x14ac:dyDescent="0.25">
      <c r="A1173" s="39" t="s">
        <v>397</v>
      </c>
      <c r="B1173" s="42" t="s">
        <v>391</v>
      </c>
      <c r="C1173" s="9" t="s">
        <v>28</v>
      </c>
      <c r="D1173" s="17">
        <f>D1175+D1176+D1177+D1178</f>
        <v>172.5</v>
      </c>
      <c r="E1173" s="9" t="s">
        <v>28</v>
      </c>
      <c r="F1173" s="17">
        <f>F1175+F1176+F1177+F1178</f>
        <v>0</v>
      </c>
      <c r="G1173" s="9" t="s">
        <v>28</v>
      </c>
      <c r="H1173" s="17">
        <f>H1175+H1176+H1177+H1178</f>
        <v>0</v>
      </c>
      <c r="I1173" s="22" t="s">
        <v>104</v>
      </c>
      <c r="J1173" s="28"/>
      <c r="K1173" s="27" t="s">
        <v>214</v>
      </c>
    </row>
    <row r="1174" spans="1:11" s="4" customFormat="1" x14ac:dyDescent="0.25">
      <c r="A1174" s="40"/>
      <c r="B1174" s="43"/>
      <c r="C1174" s="9" t="s">
        <v>21</v>
      </c>
      <c r="D1174" s="17"/>
      <c r="E1174" s="9" t="s">
        <v>21</v>
      </c>
      <c r="F1174" s="17"/>
      <c r="G1174" s="9" t="s">
        <v>21</v>
      </c>
      <c r="H1174" s="17"/>
      <c r="I1174" s="22"/>
      <c r="J1174" s="28"/>
      <c r="K1174" s="28"/>
    </row>
    <row r="1175" spans="1:11" s="4" customFormat="1" x14ac:dyDescent="0.25">
      <c r="A1175" s="40"/>
      <c r="B1175" s="43"/>
      <c r="C1175" s="12" t="s">
        <v>22</v>
      </c>
      <c r="D1175" s="17">
        <v>0</v>
      </c>
      <c r="E1175" s="12" t="s">
        <v>22</v>
      </c>
      <c r="F1175" s="17">
        <v>0</v>
      </c>
      <c r="G1175" s="12" t="s">
        <v>22</v>
      </c>
      <c r="H1175" s="17">
        <v>0</v>
      </c>
      <c r="I1175" s="22"/>
      <c r="J1175" s="28"/>
      <c r="K1175" s="28"/>
    </row>
    <row r="1176" spans="1:11" s="4" customFormat="1" x14ac:dyDescent="0.25">
      <c r="A1176" s="40"/>
      <c r="B1176" s="43"/>
      <c r="C1176" s="12" t="s">
        <v>23</v>
      </c>
      <c r="D1176" s="17">
        <v>0</v>
      </c>
      <c r="E1176" s="12" t="s">
        <v>23</v>
      </c>
      <c r="F1176" s="17">
        <v>0</v>
      </c>
      <c r="G1176" s="12" t="s">
        <v>23</v>
      </c>
      <c r="H1176" s="17">
        <v>0</v>
      </c>
      <c r="I1176" s="22"/>
      <c r="J1176" s="28"/>
      <c r="K1176" s="28"/>
    </row>
    <row r="1177" spans="1:11" s="4" customFormat="1" x14ac:dyDescent="0.25">
      <c r="A1177" s="40"/>
      <c r="B1177" s="43"/>
      <c r="C1177" s="12" t="s">
        <v>24</v>
      </c>
      <c r="D1177" s="17">
        <f>172500/1000</f>
        <v>172.5</v>
      </c>
      <c r="E1177" s="12" t="s">
        <v>24</v>
      </c>
      <c r="F1177" s="17">
        <v>0</v>
      </c>
      <c r="G1177" s="12" t="s">
        <v>24</v>
      </c>
      <c r="H1177" s="17">
        <v>0</v>
      </c>
      <c r="I1177" s="22"/>
      <c r="J1177" s="28"/>
      <c r="K1177" s="28"/>
    </row>
    <row r="1178" spans="1:11" s="4" customFormat="1" x14ac:dyDescent="0.25">
      <c r="A1178" s="41"/>
      <c r="B1178" s="44"/>
      <c r="C1178" s="12" t="s">
        <v>25</v>
      </c>
      <c r="D1178" s="17">
        <v>0</v>
      </c>
      <c r="E1178" s="12" t="s">
        <v>25</v>
      </c>
      <c r="F1178" s="17">
        <v>0</v>
      </c>
      <c r="G1178" s="12" t="s">
        <v>25</v>
      </c>
      <c r="H1178" s="17">
        <v>0</v>
      </c>
      <c r="I1178" s="22"/>
      <c r="J1178" s="28"/>
      <c r="K1178" s="29"/>
    </row>
    <row r="1179" spans="1:11" s="4" customFormat="1" x14ac:dyDescent="0.25">
      <c r="A1179" s="39" t="s">
        <v>398</v>
      </c>
      <c r="B1179" s="42" t="s">
        <v>95</v>
      </c>
      <c r="C1179" s="9" t="s">
        <v>28</v>
      </c>
      <c r="D1179" s="17">
        <f>D1181+D1182+D1183+D1184</f>
        <v>0</v>
      </c>
      <c r="E1179" s="9" t="s">
        <v>28</v>
      </c>
      <c r="F1179" s="17">
        <f>F1181+F1182+F1183+F1184</f>
        <v>0</v>
      </c>
      <c r="G1179" s="9" t="s">
        <v>28</v>
      </c>
      <c r="H1179" s="17">
        <f>H1181+H1182+H1183+H1184</f>
        <v>0</v>
      </c>
      <c r="I1179" s="22" t="s">
        <v>104</v>
      </c>
      <c r="J1179" s="28"/>
      <c r="K1179" s="27" t="s">
        <v>214</v>
      </c>
    </row>
    <row r="1180" spans="1:11" s="4" customFormat="1" x14ac:dyDescent="0.25">
      <c r="A1180" s="40"/>
      <c r="B1180" s="43"/>
      <c r="C1180" s="9" t="s">
        <v>21</v>
      </c>
      <c r="D1180" s="17"/>
      <c r="E1180" s="9" t="s">
        <v>21</v>
      </c>
      <c r="F1180" s="17"/>
      <c r="G1180" s="9" t="s">
        <v>21</v>
      </c>
      <c r="H1180" s="17"/>
      <c r="I1180" s="22"/>
      <c r="J1180" s="28"/>
      <c r="K1180" s="28"/>
    </row>
    <row r="1181" spans="1:11" s="4" customFormat="1" x14ac:dyDescent="0.25">
      <c r="A1181" s="40"/>
      <c r="B1181" s="43"/>
      <c r="C1181" s="12" t="s">
        <v>22</v>
      </c>
      <c r="D1181" s="17">
        <v>0</v>
      </c>
      <c r="E1181" s="12" t="s">
        <v>22</v>
      </c>
      <c r="F1181" s="17">
        <v>0</v>
      </c>
      <c r="G1181" s="12" t="s">
        <v>22</v>
      </c>
      <c r="H1181" s="17">
        <v>0</v>
      </c>
      <c r="I1181" s="22"/>
      <c r="J1181" s="28"/>
      <c r="K1181" s="28"/>
    </row>
    <row r="1182" spans="1:11" s="4" customFormat="1" x14ac:dyDescent="0.25">
      <c r="A1182" s="40"/>
      <c r="B1182" s="43"/>
      <c r="C1182" s="12" t="s">
        <v>23</v>
      </c>
      <c r="D1182" s="17">
        <v>0</v>
      </c>
      <c r="E1182" s="12" t="s">
        <v>23</v>
      </c>
      <c r="F1182" s="17">
        <v>0</v>
      </c>
      <c r="G1182" s="12" t="s">
        <v>23</v>
      </c>
      <c r="H1182" s="17">
        <v>0</v>
      </c>
      <c r="I1182" s="22"/>
      <c r="J1182" s="28"/>
      <c r="K1182" s="28"/>
    </row>
    <row r="1183" spans="1:11" s="4" customFormat="1" x14ac:dyDescent="0.25">
      <c r="A1183" s="40"/>
      <c r="B1183" s="43"/>
      <c r="C1183" s="12" t="s">
        <v>24</v>
      </c>
      <c r="D1183" s="17">
        <v>0</v>
      </c>
      <c r="E1183" s="12" t="s">
        <v>24</v>
      </c>
      <c r="F1183" s="17">
        <v>0</v>
      </c>
      <c r="G1183" s="12" t="s">
        <v>24</v>
      </c>
      <c r="H1183" s="17">
        <v>0</v>
      </c>
      <c r="I1183" s="22"/>
      <c r="J1183" s="28"/>
      <c r="K1183" s="28"/>
    </row>
    <row r="1184" spans="1:11" s="4" customFormat="1" x14ac:dyDescent="0.25">
      <c r="A1184" s="41"/>
      <c r="B1184" s="44"/>
      <c r="C1184" s="12" t="s">
        <v>25</v>
      </c>
      <c r="D1184" s="17">
        <v>0</v>
      </c>
      <c r="E1184" s="12" t="s">
        <v>25</v>
      </c>
      <c r="F1184" s="17">
        <v>0</v>
      </c>
      <c r="G1184" s="12" t="s">
        <v>25</v>
      </c>
      <c r="H1184" s="17">
        <v>0</v>
      </c>
      <c r="I1184" s="22"/>
      <c r="J1184" s="28"/>
      <c r="K1184" s="29"/>
    </row>
    <row r="1185" spans="1:11" s="4" customFormat="1" x14ac:dyDescent="0.25">
      <c r="A1185" s="39" t="s">
        <v>399</v>
      </c>
      <c r="B1185" s="42" t="s">
        <v>400</v>
      </c>
      <c r="C1185" s="9" t="s">
        <v>28</v>
      </c>
      <c r="D1185" s="17">
        <f>D1187+D1188+D1189+D1190</f>
        <v>224.2</v>
      </c>
      <c r="E1185" s="9" t="s">
        <v>28</v>
      </c>
      <c r="F1185" s="17">
        <f>F1187+F1188+F1189+F1190</f>
        <v>0</v>
      </c>
      <c r="G1185" s="9" t="s">
        <v>28</v>
      </c>
      <c r="H1185" s="17">
        <f>H1187+H1188+H1189+H1190</f>
        <v>0</v>
      </c>
      <c r="I1185" s="27" t="s">
        <v>248</v>
      </c>
      <c r="J1185" s="28"/>
      <c r="K1185" s="27" t="s">
        <v>214</v>
      </c>
    </row>
    <row r="1186" spans="1:11" s="4" customFormat="1" x14ac:dyDescent="0.25">
      <c r="A1186" s="40"/>
      <c r="B1186" s="43"/>
      <c r="C1186" s="9" t="s">
        <v>21</v>
      </c>
      <c r="D1186" s="17"/>
      <c r="E1186" s="9" t="s">
        <v>21</v>
      </c>
      <c r="F1186" s="17"/>
      <c r="G1186" s="9" t="s">
        <v>21</v>
      </c>
      <c r="H1186" s="17"/>
      <c r="I1186" s="28"/>
      <c r="J1186" s="28"/>
      <c r="K1186" s="28"/>
    </row>
    <row r="1187" spans="1:11" s="4" customFormat="1" x14ac:dyDescent="0.25">
      <c r="A1187" s="40"/>
      <c r="B1187" s="43"/>
      <c r="C1187" s="12" t="s">
        <v>22</v>
      </c>
      <c r="D1187" s="17">
        <f>D1199+D1193</f>
        <v>0</v>
      </c>
      <c r="E1187" s="12" t="s">
        <v>22</v>
      </c>
      <c r="F1187" s="17">
        <f>F1199+F1193</f>
        <v>0</v>
      </c>
      <c r="G1187" s="12" t="s">
        <v>22</v>
      </c>
      <c r="H1187" s="17">
        <f>H1199+H1193</f>
        <v>0</v>
      </c>
      <c r="I1187" s="28"/>
      <c r="J1187" s="28"/>
      <c r="K1187" s="28"/>
    </row>
    <row r="1188" spans="1:11" s="4" customFormat="1" x14ac:dyDescent="0.25">
      <c r="A1188" s="40"/>
      <c r="B1188" s="43"/>
      <c r="C1188" s="12" t="s">
        <v>23</v>
      </c>
      <c r="D1188" s="17">
        <f t="shared" ref="D1188:F1190" si="55">D1200+D1194</f>
        <v>0</v>
      </c>
      <c r="E1188" s="12" t="s">
        <v>23</v>
      </c>
      <c r="F1188" s="17">
        <f t="shared" si="55"/>
        <v>0</v>
      </c>
      <c r="G1188" s="12" t="s">
        <v>23</v>
      </c>
      <c r="H1188" s="17">
        <f t="shared" ref="H1188:H1190" si="56">H1200+H1194</f>
        <v>0</v>
      </c>
      <c r="I1188" s="28"/>
      <c r="J1188" s="28"/>
      <c r="K1188" s="28"/>
    </row>
    <row r="1189" spans="1:11" s="4" customFormat="1" x14ac:dyDescent="0.25">
      <c r="A1189" s="40"/>
      <c r="B1189" s="43"/>
      <c r="C1189" s="12" t="s">
        <v>24</v>
      </c>
      <c r="D1189" s="17">
        <f t="shared" si="55"/>
        <v>224.2</v>
      </c>
      <c r="E1189" s="12" t="s">
        <v>24</v>
      </c>
      <c r="F1189" s="17">
        <f t="shared" si="55"/>
        <v>0</v>
      </c>
      <c r="G1189" s="12" t="s">
        <v>24</v>
      </c>
      <c r="H1189" s="17">
        <f t="shared" si="56"/>
        <v>0</v>
      </c>
      <c r="I1189" s="28"/>
      <c r="J1189" s="28"/>
      <c r="K1189" s="28"/>
    </row>
    <row r="1190" spans="1:11" s="4" customFormat="1" x14ac:dyDescent="0.25">
      <c r="A1190" s="41"/>
      <c r="B1190" s="44"/>
      <c r="C1190" s="12" t="s">
        <v>25</v>
      </c>
      <c r="D1190" s="17">
        <f t="shared" si="55"/>
        <v>0</v>
      </c>
      <c r="E1190" s="12" t="s">
        <v>25</v>
      </c>
      <c r="F1190" s="17">
        <f t="shared" si="55"/>
        <v>0</v>
      </c>
      <c r="G1190" s="12" t="s">
        <v>25</v>
      </c>
      <c r="H1190" s="17">
        <f t="shared" si="56"/>
        <v>0</v>
      </c>
      <c r="I1190" s="29"/>
      <c r="J1190" s="28"/>
      <c r="K1190" s="29"/>
    </row>
    <row r="1191" spans="1:11" s="4" customFormat="1" x14ac:dyDescent="0.25">
      <c r="A1191" s="39" t="s">
        <v>401</v>
      </c>
      <c r="B1191" s="42" t="s">
        <v>402</v>
      </c>
      <c r="C1191" s="9" t="s">
        <v>28</v>
      </c>
      <c r="D1191" s="17">
        <f>D1193+D1194+D1195+D1196</f>
        <v>224.2</v>
      </c>
      <c r="E1191" s="9" t="s">
        <v>28</v>
      </c>
      <c r="F1191" s="17">
        <f>F1193+F1194+F1195+F1196</f>
        <v>0</v>
      </c>
      <c r="G1191" s="9" t="s">
        <v>28</v>
      </c>
      <c r="H1191" s="17">
        <f>H1193+H1194+H1195+H1196</f>
        <v>0</v>
      </c>
      <c r="I1191" s="22" t="s">
        <v>248</v>
      </c>
      <c r="J1191" s="28"/>
      <c r="K1191" s="27" t="s">
        <v>214</v>
      </c>
    </row>
    <row r="1192" spans="1:11" s="4" customFormat="1" x14ac:dyDescent="0.25">
      <c r="A1192" s="40"/>
      <c r="B1192" s="43"/>
      <c r="C1192" s="9" t="s">
        <v>21</v>
      </c>
      <c r="D1192" s="17"/>
      <c r="E1192" s="9" t="s">
        <v>21</v>
      </c>
      <c r="F1192" s="17"/>
      <c r="G1192" s="9" t="s">
        <v>21</v>
      </c>
      <c r="H1192" s="17"/>
      <c r="I1192" s="22"/>
      <c r="J1192" s="28"/>
      <c r="K1192" s="28"/>
    </row>
    <row r="1193" spans="1:11" s="4" customFormat="1" x14ac:dyDescent="0.25">
      <c r="A1193" s="40"/>
      <c r="B1193" s="43"/>
      <c r="C1193" s="12" t="s">
        <v>22</v>
      </c>
      <c r="D1193" s="17">
        <v>0</v>
      </c>
      <c r="E1193" s="12" t="s">
        <v>22</v>
      </c>
      <c r="F1193" s="17">
        <v>0</v>
      </c>
      <c r="G1193" s="12" t="s">
        <v>22</v>
      </c>
      <c r="H1193" s="17">
        <v>0</v>
      </c>
      <c r="I1193" s="22"/>
      <c r="J1193" s="28"/>
      <c r="K1193" s="28"/>
    </row>
    <row r="1194" spans="1:11" s="4" customFormat="1" x14ac:dyDescent="0.25">
      <c r="A1194" s="40"/>
      <c r="B1194" s="43"/>
      <c r="C1194" s="12" t="s">
        <v>23</v>
      </c>
      <c r="D1194" s="17">
        <v>0</v>
      </c>
      <c r="E1194" s="12" t="s">
        <v>23</v>
      </c>
      <c r="F1194" s="17">
        <v>0</v>
      </c>
      <c r="G1194" s="12" t="s">
        <v>23</v>
      </c>
      <c r="H1194" s="17">
        <v>0</v>
      </c>
      <c r="I1194" s="22"/>
      <c r="J1194" s="28"/>
      <c r="K1194" s="28"/>
    </row>
    <row r="1195" spans="1:11" s="4" customFormat="1" x14ac:dyDescent="0.25">
      <c r="A1195" s="40"/>
      <c r="B1195" s="43"/>
      <c r="C1195" s="12" t="s">
        <v>24</v>
      </c>
      <c r="D1195" s="17">
        <f>224200/1000</f>
        <v>224.2</v>
      </c>
      <c r="E1195" s="12" t="s">
        <v>24</v>
      </c>
      <c r="F1195" s="17">
        <v>0</v>
      </c>
      <c r="G1195" s="12" t="s">
        <v>24</v>
      </c>
      <c r="H1195" s="17">
        <v>0</v>
      </c>
      <c r="I1195" s="22"/>
      <c r="J1195" s="28"/>
      <c r="K1195" s="28"/>
    </row>
    <row r="1196" spans="1:11" s="4" customFormat="1" x14ac:dyDescent="0.25">
      <c r="A1196" s="41"/>
      <c r="B1196" s="44"/>
      <c r="C1196" s="12" t="s">
        <v>25</v>
      </c>
      <c r="D1196" s="17">
        <v>0</v>
      </c>
      <c r="E1196" s="12" t="s">
        <v>25</v>
      </c>
      <c r="F1196" s="17">
        <v>0</v>
      </c>
      <c r="G1196" s="12" t="s">
        <v>25</v>
      </c>
      <c r="H1196" s="17">
        <v>0</v>
      </c>
      <c r="I1196" s="22"/>
      <c r="J1196" s="28"/>
      <c r="K1196" s="29"/>
    </row>
    <row r="1197" spans="1:11" s="4" customFormat="1" x14ac:dyDescent="0.25">
      <c r="A1197" s="39" t="s">
        <v>403</v>
      </c>
      <c r="B1197" s="42" t="s">
        <v>95</v>
      </c>
      <c r="C1197" s="9" t="s">
        <v>28</v>
      </c>
      <c r="D1197" s="17">
        <f>D1199+D1200+D1201+D1202</f>
        <v>0</v>
      </c>
      <c r="E1197" s="9" t="s">
        <v>28</v>
      </c>
      <c r="F1197" s="17">
        <f>F1199+F1200+F1201+F1202</f>
        <v>0</v>
      </c>
      <c r="G1197" s="9" t="s">
        <v>28</v>
      </c>
      <c r="H1197" s="17">
        <f>H1199+H1200+H1201+H1202</f>
        <v>0</v>
      </c>
      <c r="I1197" s="27" t="s">
        <v>248</v>
      </c>
      <c r="J1197" s="28"/>
      <c r="K1197" s="27" t="s">
        <v>214</v>
      </c>
    </row>
    <row r="1198" spans="1:11" s="4" customFormat="1" x14ac:dyDescent="0.25">
      <c r="A1198" s="40"/>
      <c r="B1198" s="43"/>
      <c r="C1198" s="9" t="s">
        <v>21</v>
      </c>
      <c r="D1198" s="17"/>
      <c r="E1198" s="9" t="s">
        <v>21</v>
      </c>
      <c r="F1198" s="17"/>
      <c r="G1198" s="9" t="s">
        <v>21</v>
      </c>
      <c r="H1198" s="17"/>
      <c r="I1198" s="28"/>
      <c r="J1198" s="28"/>
      <c r="K1198" s="28"/>
    </row>
    <row r="1199" spans="1:11" s="4" customFormat="1" x14ac:dyDescent="0.25">
      <c r="A1199" s="40"/>
      <c r="B1199" s="43"/>
      <c r="C1199" s="12" t="s">
        <v>22</v>
      </c>
      <c r="D1199" s="17">
        <v>0</v>
      </c>
      <c r="E1199" s="12" t="s">
        <v>22</v>
      </c>
      <c r="F1199" s="17">
        <v>0</v>
      </c>
      <c r="G1199" s="12" t="s">
        <v>22</v>
      </c>
      <c r="H1199" s="17">
        <v>0</v>
      </c>
      <c r="I1199" s="28"/>
      <c r="J1199" s="28"/>
      <c r="K1199" s="28"/>
    </row>
    <row r="1200" spans="1:11" s="4" customFormat="1" x14ac:dyDescent="0.25">
      <c r="A1200" s="40"/>
      <c r="B1200" s="43"/>
      <c r="C1200" s="12" t="s">
        <v>23</v>
      </c>
      <c r="D1200" s="17">
        <v>0</v>
      </c>
      <c r="E1200" s="12" t="s">
        <v>23</v>
      </c>
      <c r="F1200" s="17">
        <v>0</v>
      </c>
      <c r="G1200" s="12" t="s">
        <v>23</v>
      </c>
      <c r="H1200" s="17">
        <v>0</v>
      </c>
      <c r="I1200" s="28"/>
      <c r="J1200" s="28"/>
      <c r="K1200" s="28"/>
    </row>
    <row r="1201" spans="1:11" s="4" customFormat="1" x14ac:dyDescent="0.25">
      <c r="A1201" s="40"/>
      <c r="B1201" s="43"/>
      <c r="C1201" s="12" t="s">
        <v>24</v>
      </c>
      <c r="D1201" s="17">
        <v>0</v>
      </c>
      <c r="E1201" s="12" t="s">
        <v>24</v>
      </c>
      <c r="F1201" s="17">
        <v>0</v>
      </c>
      <c r="G1201" s="12" t="s">
        <v>24</v>
      </c>
      <c r="H1201" s="17">
        <v>0</v>
      </c>
      <c r="I1201" s="28"/>
      <c r="J1201" s="28"/>
      <c r="K1201" s="28"/>
    </row>
    <row r="1202" spans="1:11" s="4" customFormat="1" x14ac:dyDescent="0.25">
      <c r="A1202" s="41"/>
      <c r="B1202" s="44"/>
      <c r="C1202" s="12" t="s">
        <v>25</v>
      </c>
      <c r="D1202" s="17">
        <v>0</v>
      </c>
      <c r="E1202" s="12" t="s">
        <v>25</v>
      </c>
      <c r="F1202" s="17">
        <v>0</v>
      </c>
      <c r="G1202" s="12" t="s">
        <v>25</v>
      </c>
      <c r="H1202" s="17">
        <v>0</v>
      </c>
      <c r="I1202" s="29"/>
      <c r="J1202" s="28"/>
      <c r="K1202" s="29"/>
    </row>
    <row r="1203" spans="1:11" s="4" customFormat="1" x14ac:dyDescent="0.25">
      <c r="A1203" s="39" t="s">
        <v>404</v>
      </c>
      <c r="B1203" s="42" t="s">
        <v>405</v>
      </c>
      <c r="C1203" s="9" t="s">
        <v>28</v>
      </c>
      <c r="D1203" s="17">
        <f>D1205+D1206+D1207+D1208</f>
        <v>5336.0639900000006</v>
      </c>
      <c r="E1203" s="9" t="s">
        <v>28</v>
      </c>
      <c r="F1203" s="17">
        <f>F1205+F1206+F1207+F1208</f>
        <v>0</v>
      </c>
      <c r="G1203" s="9" t="s">
        <v>28</v>
      </c>
      <c r="H1203" s="17">
        <f>H1205+H1206+H1207+H1208</f>
        <v>0</v>
      </c>
      <c r="I1203" s="27" t="s">
        <v>248</v>
      </c>
      <c r="J1203" s="28"/>
      <c r="K1203" s="27" t="s">
        <v>214</v>
      </c>
    </row>
    <row r="1204" spans="1:11" s="4" customFormat="1" x14ac:dyDescent="0.25">
      <c r="A1204" s="40"/>
      <c r="B1204" s="43"/>
      <c r="C1204" s="9" t="s">
        <v>21</v>
      </c>
      <c r="D1204" s="17"/>
      <c r="E1204" s="9" t="s">
        <v>21</v>
      </c>
      <c r="F1204" s="17"/>
      <c r="G1204" s="9" t="s">
        <v>21</v>
      </c>
      <c r="H1204" s="17"/>
      <c r="I1204" s="28"/>
      <c r="J1204" s="28"/>
      <c r="K1204" s="28"/>
    </row>
    <row r="1205" spans="1:11" s="4" customFormat="1" x14ac:dyDescent="0.25">
      <c r="A1205" s="40"/>
      <c r="B1205" s="43"/>
      <c r="C1205" s="12" t="s">
        <v>22</v>
      </c>
      <c r="D1205" s="17">
        <f>D1211+D1217+D1223+D1229+D1235+D1241+D1247+D1253+D1259+D1265+D1271+D1277+D1283+D1289+D1295+D1301+D1307+D1313+D1319+D1325+D1331+D1337</f>
        <v>0</v>
      </c>
      <c r="E1205" s="12" t="s">
        <v>22</v>
      </c>
      <c r="F1205" s="17">
        <f>F1211+F1217+F1223+F1229+F1235+F1241+F1247+F1253+F1259+F1265+F1271+F1277+F1283+F1289+F1295+F1301+F1307+F1313+F1319+F1325+F1331+F1337</f>
        <v>0</v>
      </c>
      <c r="G1205" s="12" t="s">
        <v>22</v>
      </c>
      <c r="H1205" s="17">
        <f>H1211+H1217+H1223+H1229+H1235+H1241+H1247+H1253+H1259+H1265+H1271+H1277+H1283+H1289+H1295+H1301+H1307+H1313+H1319+H1325+H1331+H1337</f>
        <v>0</v>
      </c>
      <c r="I1205" s="28"/>
      <c r="J1205" s="28"/>
      <c r="K1205" s="28"/>
    </row>
    <row r="1206" spans="1:11" s="4" customFormat="1" x14ac:dyDescent="0.25">
      <c r="A1206" s="40"/>
      <c r="B1206" s="43"/>
      <c r="C1206" s="12" t="s">
        <v>23</v>
      </c>
      <c r="D1206" s="17">
        <f t="shared" ref="D1206:F1208" si="57">D1212+D1218+D1224+D1230+D1236+D1242+D1248+D1254+D1260+D1266+D1272+D1278+D1284+D1290+D1296+D1302+D1308+D1314+D1320+D1326+D1332+D1338</f>
        <v>0</v>
      </c>
      <c r="E1206" s="12" t="s">
        <v>23</v>
      </c>
      <c r="F1206" s="17">
        <f t="shared" si="57"/>
        <v>0</v>
      </c>
      <c r="G1206" s="12" t="s">
        <v>23</v>
      </c>
      <c r="H1206" s="17">
        <f t="shared" ref="H1206:H1208" si="58">H1212+H1218+H1224+H1230+H1236+H1242+H1248+H1254+H1260+H1266+H1272+H1278+H1284+H1290+H1296+H1302+H1308+H1314+H1320+H1326+H1332+H1338</f>
        <v>0</v>
      </c>
      <c r="I1206" s="28"/>
      <c r="J1206" s="28"/>
      <c r="K1206" s="28"/>
    </row>
    <row r="1207" spans="1:11" s="4" customFormat="1" x14ac:dyDescent="0.25">
      <c r="A1207" s="40"/>
      <c r="B1207" s="43"/>
      <c r="C1207" s="12" t="s">
        <v>24</v>
      </c>
      <c r="D1207" s="17">
        <f t="shared" si="57"/>
        <v>5336.0639900000006</v>
      </c>
      <c r="E1207" s="12" t="s">
        <v>24</v>
      </c>
      <c r="F1207" s="17">
        <f t="shared" si="57"/>
        <v>0</v>
      </c>
      <c r="G1207" s="12" t="s">
        <v>24</v>
      </c>
      <c r="H1207" s="17">
        <f t="shared" si="58"/>
        <v>0</v>
      </c>
      <c r="I1207" s="28"/>
      <c r="J1207" s="28"/>
      <c r="K1207" s="28"/>
    </row>
    <row r="1208" spans="1:11" s="4" customFormat="1" x14ac:dyDescent="0.25">
      <c r="A1208" s="41"/>
      <c r="B1208" s="44"/>
      <c r="C1208" s="12" t="s">
        <v>25</v>
      </c>
      <c r="D1208" s="17">
        <f t="shared" si="57"/>
        <v>0</v>
      </c>
      <c r="E1208" s="12" t="s">
        <v>25</v>
      </c>
      <c r="F1208" s="17">
        <f t="shared" si="57"/>
        <v>0</v>
      </c>
      <c r="G1208" s="12" t="s">
        <v>25</v>
      </c>
      <c r="H1208" s="17">
        <f t="shared" si="58"/>
        <v>0</v>
      </c>
      <c r="I1208" s="29"/>
      <c r="J1208" s="28"/>
      <c r="K1208" s="29"/>
    </row>
    <row r="1209" spans="1:11" s="4" customFormat="1" x14ac:dyDescent="0.25">
      <c r="A1209" s="39" t="s">
        <v>406</v>
      </c>
      <c r="B1209" s="42" t="s">
        <v>407</v>
      </c>
      <c r="C1209" s="9" t="s">
        <v>28</v>
      </c>
      <c r="D1209" s="17">
        <f>D1211+D1212+D1213+D1214</f>
        <v>200</v>
      </c>
      <c r="E1209" s="9" t="s">
        <v>28</v>
      </c>
      <c r="F1209" s="17">
        <f>F1211+F1212+F1213+F1214</f>
        <v>0</v>
      </c>
      <c r="G1209" s="9" t="s">
        <v>28</v>
      </c>
      <c r="H1209" s="17">
        <f>H1211+H1212+H1213+H1214</f>
        <v>0</v>
      </c>
      <c r="I1209" s="27" t="s">
        <v>248</v>
      </c>
      <c r="J1209" s="28"/>
      <c r="K1209" s="27" t="s">
        <v>214</v>
      </c>
    </row>
    <row r="1210" spans="1:11" s="4" customFormat="1" x14ac:dyDescent="0.25">
      <c r="A1210" s="40"/>
      <c r="B1210" s="43"/>
      <c r="C1210" s="9" t="s">
        <v>21</v>
      </c>
      <c r="D1210" s="17"/>
      <c r="E1210" s="9" t="s">
        <v>21</v>
      </c>
      <c r="F1210" s="17"/>
      <c r="G1210" s="9" t="s">
        <v>21</v>
      </c>
      <c r="H1210" s="17"/>
      <c r="I1210" s="28"/>
      <c r="J1210" s="28"/>
      <c r="K1210" s="28"/>
    </row>
    <row r="1211" spans="1:11" s="4" customFormat="1" x14ac:dyDescent="0.25">
      <c r="A1211" s="40"/>
      <c r="B1211" s="43"/>
      <c r="C1211" s="12" t="s">
        <v>22</v>
      </c>
      <c r="D1211" s="17">
        <v>0</v>
      </c>
      <c r="E1211" s="12" t="s">
        <v>22</v>
      </c>
      <c r="F1211" s="17">
        <v>0</v>
      </c>
      <c r="G1211" s="12" t="s">
        <v>22</v>
      </c>
      <c r="H1211" s="17">
        <v>0</v>
      </c>
      <c r="I1211" s="28"/>
      <c r="J1211" s="28"/>
      <c r="K1211" s="28"/>
    </row>
    <row r="1212" spans="1:11" s="4" customFormat="1" x14ac:dyDescent="0.25">
      <c r="A1212" s="40"/>
      <c r="B1212" s="43"/>
      <c r="C1212" s="12" t="s">
        <v>23</v>
      </c>
      <c r="D1212" s="17">
        <v>0</v>
      </c>
      <c r="E1212" s="12" t="s">
        <v>23</v>
      </c>
      <c r="F1212" s="17">
        <v>0</v>
      </c>
      <c r="G1212" s="12" t="s">
        <v>23</v>
      </c>
      <c r="H1212" s="17">
        <v>0</v>
      </c>
      <c r="I1212" s="28"/>
      <c r="J1212" s="28"/>
      <c r="K1212" s="28"/>
    </row>
    <row r="1213" spans="1:11" s="4" customFormat="1" x14ac:dyDescent="0.25">
      <c r="A1213" s="40"/>
      <c r="B1213" s="43"/>
      <c r="C1213" s="12" t="s">
        <v>24</v>
      </c>
      <c r="D1213" s="17">
        <f>200000/1000</f>
        <v>200</v>
      </c>
      <c r="E1213" s="12" t="s">
        <v>24</v>
      </c>
      <c r="F1213" s="17">
        <v>0</v>
      </c>
      <c r="G1213" s="12" t="s">
        <v>24</v>
      </c>
      <c r="H1213" s="17">
        <v>0</v>
      </c>
      <c r="I1213" s="28"/>
      <c r="J1213" s="28"/>
      <c r="K1213" s="28"/>
    </row>
    <row r="1214" spans="1:11" s="4" customFormat="1" x14ac:dyDescent="0.25">
      <c r="A1214" s="41"/>
      <c r="B1214" s="44"/>
      <c r="C1214" s="12" t="s">
        <v>25</v>
      </c>
      <c r="D1214" s="17">
        <v>0</v>
      </c>
      <c r="E1214" s="12" t="s">
        <v>25</v>
      </c>
      <c r="F1214" s="17">
        <v>0</v>
      </c>
      <c r="G1214" s="12" t="s">
        <v>25</v>
      </c>
      <c r="H1214" s="17">
        <v>0</v>
      </c>
      <c r="I1214" s="29"/>
      <c r="J1214" s="28"/>
      <c r="K1214" s="29"/>
    </row>
    <row r="1215" spans="1:11" s="4" customFormat="1" x14ac:dyDescent="0.25">
      <c r="A1215" s="39" t="s">
        <v>408</v>
      </c>
      <c r="B1215" s="42" t="s">
        <v>409</v>
      </c>
      <c r="C1215" s="9" t="s">
        <v>28</v>
      </c>
      <c r="D1215" s="17">
        <f>D1217+D1218+D1219+D1220</f>
        <v>200</v>
      </c>
      <c r="E1215" s="9" t="s">
        <v>28</v>
      </c>
      <c r="F1215" s="17">
        <f>F1217+F1218+F1219+F1220</f>
        <v>0</v>
      </c>
      <c r="G1215" s="9" t="s">
        <v>28</v>
      </c>
      <c r="H1215" s="17">
        <f>H1217+H1218+H1219+H1220</f>
        <v>0</v>
      </c>
      <c r="I1215" s="27" t="s">
        <v>248</v>
      </c>
      <c r="J1215" s="28"/>
      <c r="K1215" s="27" t="s">
        <v>214</v>
      </c>
    </row>
    <row r="1216" spans="1:11" s="4" customFormat="1" x14ac:dyDescent="0.25">
      <c r="A1216" s="40"/>
      <c r="B1216" s="43"/>
      <c r="C1216" s="9" t="s">
        <v>21</v>
      </c>
      <c r="D1216" s="17"/>
      <c r="E1216" s="9" t="s">
        <v>21</v>
      </c>
      <c r="F1216" s="17"/>
      <c r="G1216" s="9" t="s">
        <v>21</v>
      </c>
      <c r="H1216" s="17"/>
      <c r="I1216" s="28"/>
      <c r="J1216" s="28"/>
      <c r="K1216" s="28"/>
    </row>
    <row r="1217" spans="1:11" s="4" customFormat="1" x14ac:dyDescent="0.25">
      <c r="A1217" s="40"/>
      <c r="B1217" s="43"/>
      <c r="C1217" s="12" t="s">
        <v>22</v>
      </c>
      <c r="D1217" s="17">
        <v>0</v>
      </c>
      <c r="E1217" s="12" t="s">
        <v>22</v>
      </c>
      <c r="F1217" s="17">
        <v>0</v>
      </c>
      <c r="G1217" s="12" t="s">
        <v>22</v>
      </c>
      <c r="H1217" s="17">
        <v>0</v>
      </c>
      <c r="I1217" s="28"/>
      <c r="J1217" s="28"/>
      <c r="K1217" s="28"/>
    </row>
    <row r="1218" spans="1:11" s="4" customFormat="1" x14ac:dyDescent="0.25">
      <c r="A1218" s="40"/>
      <c r="B1218" s="43"/>
      <c r="C1218" s="12" t="s">
        <v>23</v>
      </c>
      <c r="D1218" s="17">
        <v>0</v>
      </c>
      <c r="E1218" s="12" t="s">
        <v>23</v>
      </c>
      <c r="F1218" s="17">
        <v>0</v>
      </c>
      <c r="G1218" s="12" t="s">
        <v>23</v>
      </c>
      <c r="H1218" s="17">
        <v>0</v>
      </c>
      <c r="I1218" s="28"/>
      <c r="J1218" s="28"/>
      <c r="K1218" s="28"/>
    </row>
    <row r="1219" spans="1:11" s="4" customFormat="1" x14ac:dyDescent="0.25">
      <c r="A1219" s="40"/>
      <c r="B1219" s="43"/>
      <c r="C1219" s="12" t="s">
        <v>24</v>
      </c>
      <c r="D1219" s="17">
        <f>200000/1000</f>
        <v>200</v>
      </c>
      <c r="E1219" s="12" t="s">
        <v>24</v>
      </c>
      <c r="F1219" s="17">
        <v>0</v>
      </c>
      <c r="G1219" s="12" t="s">
        <v>24</v>
      </c>
      <c r="H1219" s="17">
        <v>0</v>
      </c>
      <c r="I1219" s="28"/>
      <c r="J1219" s="28"/>
      <c r="K1219" s="28"/>
    </row>
    <row r="1220" spans="1:11" s="4" customFormat="1" x14ac:dyDescent="0.25">
      <c r="A1220" s="41"/>
      <c r="B1220" s="44"/>
      <c r="C1220" s="12" t="s">
        <v>25</v>
      </c>
      <c r="D1220" s="17">
        <v>0</v>
      </c>
      <c r="E1220" s="12" t="s">
        <v>25</v>
      </c>
      <c r="F1220" s="17">
        <v>0</v>
      </c>
      <c r="G1220" s="12" t="s">
        <v>25</v>
      </c>
      <c r="H1220" s="17">
        <v>0</v>
      </c>
      <c r="I1220" s="29"/>
      <c r="J1220" s="28"/>
      <c r="K1220" s="29"/>
    </row>
    <row r="1221" spans="1:11" s="4" customFormat="1" x14ac:dyDescent="0.25">
      <c r="A1221" s="39" t="s">
        <v>410</v>
      </c>
      <c r="B1221" s="42" t="s">
        <v>411</v>
      </c>
      <c r="C1221" s="9" t="s">
        <v>28</v>
      </c>
      <c r="D1221" s="17">
        <f>D1223+D1224+D1225+D1226</f>
        <v>250</v>
      </c>
      <c r="E1221" s="9" t="s">
        <v>28</v>
      </c>
      <c r="F1221" s="17">
        <f>F1223+F1224+F1225+F1226</f>
        <v>0</v>
      </c>
      <c r="G1221" s="9" t="s">
        <v>28</v>
      </c>
      <c r="H1221" s="17">
        <f>H1223+H1224+H1225+H1226</f>
        <v>0</v>
      </c>
      <c r="I1221" s="27" t="s">
        <v>248</v>
      </c>
      <c r="J1221" s="28"/>
      <c r="K1221" s="27" t="s">
        <v>214</v>
      </c>
    </row>
    <row r="1222" spans="1:11" s="4" customFormat="1" x14ac:dyDescent="0.25">
      <c r="A1222" s="40"/>
      <c r="B1222" s="43"/>
      <c r="C1222" s="9" t="s">
        <v>21</v>
      </c>
      <c r="D1222" s="17"/>
      <c r="E1222" s="9" t="s">
        <v>21</v>
      </c>
      <c r="F1222" s="17"/>
      <c r="G1222" s="9" t="s">
        <v>21</v>
      </c>
      <c r="H1222" s="17"/>
      <c r="I1222" s="28"/>
      <c r="J1222" s="28"/>
      <c r="K1222" s="28"/>
    </row>
    <row r="1223" spans="1:11" s="4" customFormat="1" x14ac:dyDescent="0.25">
      <c r="A1223" s="40"/>
      <c r="B1223" s="43"/>
      <c r="C1223" s="12" t="s">
        <v>22</v>
      </c>
      <c r="D1223" s="17">
        <v>0</v>
      </c>
      <c r="E1223" s="12" t="s">
        <v>22</v>
      </c>
      <c r="F1223" s="17">
        <v>0</v>
      </c>
      <c r="G1223" s="12" t="s">
        <v>22</v>
      </c>
      <c r="H1223" s="17">
        <v>0</v>
      </c>
      <c r="I1223" s="28"/>
      <c r="J1223" s="28"/>
      <c r="K1223" s="28"/>
    </row>
    <row r="1224" spans="1:11" s="4" customFormat="1" x14ac:dyDescent="0.25">
      <c r="A1224" s="40"/>
      <c r="B1224" s="43"/>
      <c r="C1224" s="12" t="s">
        <v>23</v>
      </c>
      <c r="D1224" s="17">
        <v>0</v>
      </c>
      <c r="E1224" s="12" t="s">
        <v>23</v>
      </c>
      <c r="F1224" s="17">
        <v>0</v>
      </c>
      <c r="G1224" s="12" t="s">
        <v>23</v>
      </c>
      <c r="H1224" s="17">
        <v>0</v>
      </c>
      <c r="I1224" s="28"/>
      <c r="J1224" s="28"/>
      <c r="K1224" s="28"/>
    </row>
    <row r="1225" spans="1:11" s="4" customFormat="1" x14ac:dyDescent="0.25">
      <c r="A1225" s="40"/>
      <c r="B1225" s="43"/>
      <c r="C1225" s="12" t="s">
        <v>24</v>
      </c>
      <c r="D1225" s="17">
        <f>250000/1000</f>
        <v>250</v>
      </c>
      <c r="E1225" s="12" t="s">
        <v>24</v>
      </c>
      <c r="F1225" s="17">
        <v>0</v>
      </c>
      <c r="G1225" s="12" t="s">
        <v>24</v>
      </c>
      <c r="H1225" s="17">
        <v>0</v>
      </c>
      <c r="I1225" s="28"/>
      <c r="J1225" s="28"/>
      <c r="K1225" s="28"/>
    </row>
    <row r="1226" spans="1:11" s="4" customFormat="1" x14ac:dyDescent="0.25">
      <c r="A1226" s="41"/>
      <c r="B1226" s="44"/>
      <c r="C1226" s="12" t="s">
        <v>25</v>
      </c>
      <c r="D1226" s="17">
        <v>0</v>
      </c>
      <c r="E1226" s="12" t="s">
        <v>25</v>
      </c>
      <c r="F1226" s="17">
        <v>0</v>
      </c>
      <c r="G1226" s="12" t="s">
        <v>25</v>
      </c>
      <c r="H1226" s="17">
        <v>0</v>
      </c>
      <c r="I1226" s="29"/>
      <c r="J1226" s="28"/>
      <c r="K1226" s="29"/>
    </row>
    <row r="1227" spans="1:11" s="4" customFormat="1" x14ac:dyDescent="0.25">
      <c r="A1227" s="39" t="s">
        <v>412</v>
      </c>
      <c r="B1227" s="42" t="s">
        <v>413</v>
      </c>
      <c r="C1227" s="9" t="s">
        <v>28</v>
      </c>
      <c r="D1227" s="17">
        <f>D1229+D1230+D1231+D1232</f>
        <v>200</v>
      </c>
      <c r="E1227" s="9" t="s">
        <v>28</v>
      </c>
      <c r="F1227" s="17">
        <f>F1229+F1230+F1231+F1232</f>
        <v>0</v>
      </c>
      <c r="G1227" s="9" t="s">
        <v>28</v>
      </c>
      <c r="H1227" s="17">
        <f>H1229+H1230+H1231+H1232</f>
        <v>0</v>
      </c>
      <c r="I1227" s="27" t="s">
        <v>248</v>
      </c>
      <c r="J1227" s="28"/>
      <c r="K1227" s="27" t="s">
        <v>214</v>
      </c>
    </row>
    <row r="1228" spans="1:11" s="4" customFormat="1" x14ac:dyDescent="0.25">
      <c r="A1228" s="40"/>
      <c r="B1228" s="43"/>
      <c r="C1228" s="9" t="s">
        <v>21</v>
      </c>
      <c r="D1228" s="17"/>
      <c r="E1228" s="9" t="s">
        <v>21</v>
      </c>
      <c r="F1228" s="17"/>
      <c r="G1228" s="9" t="s">
        <v>21</v>
      </c>
      <c r="H1228" s="17"/>
      <c r="I1228" s="28"/>
      <c r="J1228" s="28"/>
      <c r="K1228" s="28"/>
    </row>
    <row r="1229" spans="1:11" s="4" customFormat="1" x14ac:dyDescent="0.25">
      <c r="A1229" s="40"/>
      <c r="B1229" s="43"/>
      <c r="C1229" s="12" t="s">
        <v>22</v>
      </c>
      <c r="D1229" s="17">
        <v>0</v>
      </c>
      <c r="E1229" s="12" t="s">
        <v>22</v>
      </c>
      <c r="F1229" s="17">
        <v>0</v>
      </c>
      <c r="G1229" s="12" t="s">
        <v>22</v>
      </c>
      <c r="H1229" s="17">
        <v>0</v>
      </c>
      <c r="I1229" s="28"/>
      <c r="J1229" s="28"/>
      <c r="K1229" s="28"/>
    </row>
    <row r="1230" spans="1:11" s="4" customFormat="1" x14ac:dyDescent="0.25">
      <c r="A1230" s="40"/>
      <c r="B1230" s="43"/>
      <c r="C1230" s="12" t="s">
        <v>23</v>
      </c>
      <c r="D1230" s="17">
        <v>0</v>
      </c>
      <c r="E1230" s="12" t="s">
        <v>23</v>
      </c>
      <c r="F1230" s="17">
        <v>0</v>
      </c>
      <c r="G1230" s="12" t="s">
        <v>23</v>
      </c>
      <c r="H1230" s="17">
        <v>0</v>
      </c>
      <c r="I1230" s="28"/>
      <c r="J1230" s="28"/>
      <c r="K1230" s="28"/>
    </row>
    <row r="1231" spans="1:11" s="4" customFormat="1" x14ac:dyDescent="0.25">
      <c r="A1231" s="40"/>
      <c r="B1231" s="43"/>
      <c r="C1231" s="12" t="s">
        <v>24</v>
      </c>
      <c r="D1231" s="17">
        <f>200000/1000</f>
        <v>200</v>
      </c>
      <c r="E1231" s="12" t="s">
        <v>24</v>
      </c>
      <c r="F1231" s="17">
        <v>0</v>
      </c>
      <c r="G1231" s="12" t="s">
        <v>24</v>
      </c>
      <c r="H1231" s="17">
        <v>0</v>
      </c>
      <c r="I1231" s="28"/>
      <c r="J1231" s="28"/>
      <c r="K1231" s="28"/>
    </row>
    <row r="1232" spans="1:11" s="4" customFormat="1" x14ac:dyDescent="0.25">
      <c r="A1232" s="41"/>
      <c r="B1232" s="44"/>
      <c r="C1232" s="12" t="s">
        <v>25</v>
      </c>
      <c r="D1232" s="17">
        <v>0</v>
      </c>
      <c r="E1232" s="12" t="s">
        <v>25</v>
      </c>
      <c r="F1232" s="17">
        <v>0</v>
      </c>
      <c r="G1232" s="12" t="s">
        <v>25</v>
      </c>
      <c r="H1232" s="17">
        <v>0</v>
      </c>
      <c r="I1232" s="29"/>
      <c r="J1232" s="28"/>
      <c r="K1232" s="29"/>
    </row>
    <row r="1233" spans="1:11" s="4" customFormat="1" x14ac:dyDescent="0.25">
      <c r="A1233" s="39" t="s">
        <v>414</v>
      </c>
      <c r="B1233" s="42" t="s">
        <v>415</v>
      </c>
      <c r="C1233" s="9" t="s">
        <v>28</v>
      </c>
      <c r="D1233" s="17">
        <f>D1235+D1236+D1237+D1238</f>
        <v>250</v>
      </c>
      <c r="E1233" s="9" t="s">
        <v>28</v>
      </c>
      <c r="F1233" s="17">
        <f>F1235+F1236+F1237+F1238</f>
        <v>0</v>
      </c>
      <c r="G1233" s="9" t="s">
        <v>28</v>
      </c>
      <c r="H1233" s="17">
        <f>H1235+H1236+H1237+H1238</f>
        <v>0</v>
      </c>
      <c r="I1233" s="27" t="s">
        <v>248</v>
      </c>
      <c r="J1233" s="28"/>
      <c r="K1233" s="27" t="s">
        <v>214</v>
      </c>
    </row>
    <row r="1234" spans="1:11" s="4" customFormat="1" x14ac:dyDescent="0.25">
      <c r="A1234" s="40"/>
      <c r="B1234" s="43"/>
      <c r="C1234" s="9" t="s">
        <v>21</v>
      </c>
      <c r="D1234" s="17"/>
      <c r="E1234" s="9" t="s">
        <v>21</v>
      </c>
      <c r="F1234" s="17"/>
      <c r="G1234" s="9" t="s">
        <v>21</v>
      </c>
      <c r="H1234" s="17"/>
      <c r="I1234" s="28"/>
      <c r="J1234" s="28"/>
      <c r="K1234" s="28"/>
    </row>
    <row r="1235" spans="1:11" s="4" customFormat="1" x14ac:dyDescent="0.25">
      <c r="A1235" s="40"/>
      <c r="B1235" s="43"/>
      <c r="C1235" s="12" t="s">
        <v>22</v>
      </c>
      <c r="D1235" s="17">
        <v>0</v>
      </c>
      <c r="E1235" s="12" t="s">
        <v>22</v>
      </c>
      <c r="F1235" s="17">
        <v>0</v>
      </c>
      <c r="G1235" s="12" t="s">
        <v>22</v>
      </c>
      <c r="H1235" s="17">
        <v>0</v>
      </c>
      <c r="I1235" s="28"/>
      <c r="J1235" s="28"/>
      <c r="K1235" s="28"/>
    </row>
    <row r="1236" spans="1:11" s="4" customFormat="1" x14ac:dyDescent="0.25">
      <c r="A1236" s="40"/>
      <c r="B1236" s="43"/>
      <c r="C1236" s="12" t="s">
        <v>23</v>
      </c>
      <c r="D1236" s="17">
        <v>0</v>
      </c>
      <c r="E1236" s="12" t="s">
        <v>23</v>
      </c>
      <c r="F1236" s="17">
        <v>0</v>
      </c>
      <c r="G1236" s="12" t="s">
        <v>23</v>
      </c>
      <c r="H1236" s="17">
        <v>0</v>
      </c>
      <c r="I1236" s="28"/>
      <c r="J1236" s="28"/>
      <c r="K1236" s="28"/>
    </row>
    <row r="1237" spans="1:11" s="4" customFormat="1" x14ac:dyDescent="0.25">
      <c r="A1237" s="40"/>
      <c r="B1237" s="43"/>
      <c r="C1237" s="12" t="s">
        <v>24</v>
      </c>
      <c r="D1237" s="17">
        <f>250000/1000</f>
        <v>250</v>
      </c>
      <c r="E1237" s="12" t="s">
        <v>24</v>
      </c>
      <c r="F1237" s="17">
        <v>0</v>
      </c>
      <c r="G1237" s="12" t="s">
        <v>24</v>
      </c>
      <c r="H1237" s="17">
        <v>0</v>
      </c>
      <c r="I1237" s="28"/>
      <c r="J1237" s="28"/>
      <c r="K1237" s="28"/>
    </row>
    <row r="1238" spans="1:11" s="4" customFormat="1" x14ac:dyDescent="0.25">
      <c r="A1238" s="41"/>
      <c r="B1238" s="44"/>
      <c r="C1238" s="12" t="s">
        <v>25</v>
      </c>
      <c r="D1238" s="17">
        <v>0</v>
      </c>
      <c r="E1238" s="12" t="s">
        <v>25</v>
      </c>
      <c r="F1238" s="17">
        <v>0</v>
      </c>
      <c r="G1238" s="12" t="s">
        <v>25</v>
      </c>
      <c r="H1238" s="17">
        <v>0</v>
      </c>
      <c r="I1238" s="29"/>
      <c r="J1238" s="28"/>
      <c r="K1238" s="29"/>
    </row>
    <row r="1239" spans="1:11" s="4" customFormat="1" x14ac:dyDescent="0.25">
      <c r="A1239" s="39" t="s">
        <v>416</v>
      </c>
      <c r="B1239" s="42" t="s">
        <v>417</v>
      </c>
      <c r="C1239" s="9" t="s">
        <v>28</v>
      </c>
      <c r="D1239" s="17">
        <f>D1241+D1242+D1243+D1244</f>
        <v>250</v>
      </c>
      <c r="E1239" s="9" t="s">
        <v>28</v>
      </c>
      <c r="F1239" s="17">
        <f>F1241+F1242+F1243+F1244</f>
        <v>0</v>
      </c>
      <c r="G1239" s="9" t="s">
        <v>28</v>
      </c>
      <c r="H1239" s="17">
        <f>H1241+H1242+H1243+H1244</f>
        <v>0</v>
      </c>
      <c r="I1239" s="27" t="s">
        <v>248</v>
      </c>
      <c r="J1239" s="28"/>
      <c r="K1239" s="27" t="s">
        <v>214</v>
      </c>
    </row>
    <row r="1240" spans="1:11" s="4" customFormat="1" x14ac:dyDescent="0.25">
      <c r="A1240" s="40"/>
      <c r="B1240" s="43"/>
      <c r="C1240" s="9" t="s">
        <v>21</v>
      </c>
      <c r="D1240" s="17"/>
      <c r="E1240" s="9" t="s">
        <v>21</v>
      </c>
      <c r="F1240" s="17"/>
      <c r="G1240" s="9" t="s">
        <v>21</v>
      </c>
      <c r="H1240" s="17"/>
      <c r="I1240" s="28"/>
      <c r="J1240" s="28"/>
      <c r="K1240" s="28"/>
    </row>
    <row r="1241" spans="1:11" s="4" customFormat="1" x14ac:dyDescent="0.25">
      <c r="A1241" s="40"/>
      <c r="B1241" s="43"/>
      <c r="C1241" s="12" t="s">
        <v>22</v>
      </c>
      <c r="D1241" s="17">
        <v>0</v>
      </c>
      <c r="E1241" s="12" t="s">
        <v>22</v>
      </c>
      <c r="F1241" s="17">
        <v>0</v>
      </c>
      <c r="G1241" s="12" t="s">
        <v>22</v>
      </c>
      <c r="H1241" s="17">
        <v>0</v>
      </c>
      <c r="I1241" s="28"/>
      <c r="J1241" s="28"/>
      <c r="K1241" s="28"/>
    </row>
    <row r="1242" spans="1:11" s="4" customFormat="1" x14ac:dyDescent="0.25">
      <c r="A1242" s="40"/>
      <c r="B1242" s="43"/>
      <c r="C1242" s="12" t="s">
        <v>23</v>
      </c>
      <c r="D1242" s="17">
        <v>0</v>
      </c>
      <c r="E1242" s="12" t="s">
        <v>23</v>
      </c>
      <c r="F1242" s="17">
        <v>0</v>
      </c>
      <c r="G1242" s="12" t="s">
        <v>23</v>
      </c>
      <c r="H1242" s="17">
        <v>0</v>
      </c>
      <c r="I1242" s="28"/>
      <c r="J1242" s="28"/>
      <c r="K1242" s="28"/>
    </row>
    <row r="1243" spans="1:11" s="4" customFormat="1" x14ac:dyDescent="0.25">
      <c r="A1243" s="40"/>
      <c r="B1243" s="43"/>
      <c r="C1243" s="12" t="s">
        <v>24</v>
      </c>
      <c r="D1243" s="17">
        <f>250000/1000</f>
        <v>250</v>
      </c>
      <c r="E1243" s="12" t="s">
        <v>24</v>
      </c>
      <c r="F1243" s="17">
        <v>0</v>
      </c>
      <c r="G1243" s="12" t="s">
        <v>24</v>
      </c>
      <c r="H1243" s="17">
        <v>0</v>
      </c>
      <c r="I1243" s="28"/>
      <c r="J1243" s="28"/>
      <c r="K1243" s="28"/>
    </row>
    <row r="1244" spans="1:11" s="4" customFormat="1" x14ac:dyDescent="0.25">
      <c r="A1244" s="41"/>
      <c r="B1244" s="44"/>
      <c r="C1244" s="12" t="s">
        <v>25</v>
      </c>
      <c r="D1244" s="17">
        <v>0</v>
      </c>
      <c r="E1244" s="12" t="s">
        <v>25</v>
      </c>
      <c r="F1244" s="17">
        <v>0</v>
      </c>
      <c r="G1244" s="12" t="s">
        <v>25</v>
      </c>
      <c r="H1244" s="17">
        <v>0</v>
      </c>
      <c r="I1244" s="29"/>
      <c r="J1244" s="28"/>
      <c r="K1244" s="29"/>
    </row>
    <row r="1245" spans="1:11" s="4" customFormat="1" x14ac:dyDescent="0.25">
      <c r="A1245" s="39" t="s">
        <v>418</v>
      </c>
      <c r="B1245" s="42" t="s">
        <v>419</v>
      </c>
      <c r="C1245" s="9" t="s">
        <v>28</v>
      </c>
      <c r="D1245" s="17">
        <f>D1247+D1248+D1249+D1250</f>
        <v>200</v>
      </c>
      <c r="E1245" s="9" t="s">
        <v>28</v>
      </c>
      <c r="F1245" s="17">
        <f>F1247+F1248+F1249+F1250</f>
        <v>0</v>
      </c>
      <c r="G1245" s="9" t="s">
        <v>28</v>
      </c>
      <c r="H1245" s="17">
        <f>H1247+H1248+H1249+H1250</f>
        <v>0</v>
      </c>
      <c r="I1245" s="27" t="s">
        <v>248</v>
      </c>
      <c r="J1245" s="28"/>
      <c r="K1245" s="27" t="s">
        <v>214</v>
      </c>
    </row>
    <row r="1246" spans="1:11" s="4" customFormat="1" x14ac:dyDescent="0.25">
      <c r="A1246" s="40"/>
      <c r="B1246" s="43"/>
      <c r="C1246" s="9" t="s">
        <v>21</v>
      </c>
      <c r="D1246" s="17"/>
      <c r="E1246" s="9" t="s">
        <v>21</v>
      </c>
      <c r="F1246" s="17"/>
      <c r="G1246" s="9" t="s">
        <v>21</v>
      </c>
      <c r="H1246" s="17"/>
      <c r="I1246" s="28"/>
      <c r="J1246" s="28"/>
      <c r="K1246" s="28"/>
    </row>
    <row r="1247" spans="1:11" s="4" customFormat="1" x14ac:dyDescent="0.25">
      <c r="A1247" s="40"/>
      <c r="B1247" s="43"/>
      <c r="C1247" s="12" t="s">
        <v>22</v>
      </c>
      <c r="D1247" s="17">
        <v>0</v>
      </c>
      <c r="E1247" s="12" t="s">
        <v>22</v>
      </c>
      <c r="F1247" s="17">
        <v>0</v>
      </c>
      <c r="G1247" s="12" t="s">
        <v>22</v>
      </c>
      <c r="H1247" s="17">
        <v>0</v>
      </c>
      <c r="I1247" s="28"/>
      <c r="J1247" s="28"/>
      <c r="K1247" s="28"/>
    </row>
    <row r="1248" spans="1:11" s="4" customFormat="1" x14ac:dyDescent="0.25">
      <c r="A1248" s="40"/>
      <c r="B1248" s="43"/>
      <c r="C1248" s="12" t="s">
        <v>23</v>
      </c>
      <c r="D1248" s="17">
        <v>0</v>
      </c>
      <c r="E1248" s="12" t="s">
        <v>23</v>
      </c>
      <c r="F1248" s="17">
        <v>0</v>
      </c>
      <c r="G1248" s="12" t="s">
        <v>23</v>
      </c>
      <c r="H1248" s="17">
        <v>0</v>
      </c>
      <c r="I1248" s="28"/>
      <c r="J1248" s="28"/>
      <c r="K1248" s="28"/>
    </row>
    <row r="1249" spans="1:11" s="4" customFormat="1" x14ac:dyDescent="0.25">
      <c r="A1249" s="40"/>
      <c r="B1249" s="43"/>
      <c r="C1249" s="12" t="s">
        <v>24</v>
      </c>
      <c r="D1249" s="17">
        <f>200000/1000</f>
        <v>200</v>
      </c>
      <c r="E1249" s="12" t="s">
        <v>24</v>
      </c>
      <c r="F1249" s="17">
        <v>0</v>
      </c>
      <c r="G1249" s="12" t="s">
        <v>24</v>
      </c>
      <c r="H1249" s="17">
        <v>0</v>
      </c>
      <c r="I1249" s="28"/>
      <c r="J1249" s="28"/>
      <c r="K1249" s="28"/>
    </row>
    <row r="1250" spans="1:11" s="4" customFormat="1" x14ac:dyDescent="0.25">
      <c r="A1250" s="41"/>
      <c r="B1250" s="44"/>
      <c r="C1250" s="12" t="s">
        <v>25</v>
      </c>
      <c r="D1250" s="17">
        <v>0</v>
      </c>
      <c r="E1250" s="12" t="s">
        <v>25</v>
      </c>
      <c r="F1250" s="17">
        <v>0</v>
      </c>
      <c r="G1250" s="12" t="s">
        <v>25</v>
      </c>
      <c r="H1250" s="17">
        <v>0</v>
      </c>
      <c r="I1250" s="29"/>
      <c r="J1250" s="28"/>
      <c r="K1250" s="29"/>
    </row>
    <row r="1251" spans="1:11" s="4" customFormat="1" x14ac:dyDescent="0.25">
      <c r="A1251" s="39" t="s">
        <v>420</v>
      </c>
      <c r="B1251" s="42" t="s">
        <v>421</v>
      </c>
      <c r="C1251" s="9" t="s">
        <v>28</v>
      </c>
      <c r="D1251" s="17">
        <f>D1253+D1254+D1255+D1256</f>
        <v>200</v>
      </c>
      <c r="E1251" s="9" t="s">
        <v>28</v>
      </c>
      <c r="F1251" s="17">
        <f>F1253+F1254+F1255+F1256</f>
        <v>0</v>
      </c>
      <c r="G1251" s="9" t="s">
        <v>28</v>
      </c>
      <c r="H1251" s="17">
        <f>H1253+H1254+H1255+H1256</f>
        <v>0</v>
      </c>
      <c r="I1251" s="27" t="s">
        <v>248</v>
      </c>
      <c r="J1251" s="28"/>
      <c r="K1251" s="27" t="s">
        <v>214</v>
      </c>
    </row>
    <row r="1252" spans="1:11" s="4" customFormat="1" x14ac:dyDescent="0.25">
      <c r="A1252" s="40"/>
      <c r="B1252" s="43"/>
      <c r="C1252" s="9" t="s">
        <v>21</v>
      </c>
      <c r="D1252" s="17"/>
      <c r="E1252" s="9" t="s">
        <v>21</v>
      </c>
      <c r="F1252" s="17"/>
      <c r="G1252" s="9" t="s">
        <v>21</v>
      </c>
      <c r="H1252" s="17"/>
      <c r="I1252" s="28"/>
      <c r="J1252" s="28"/>
      <c r="K1252" s="28"/>
    </row>
    <row r="1253" spans="1:11" s="4" customFormat="1" x14ac:dyDescent="0.25">
      <c r="A1253" s="40"/>
      <c r="B1253" s="43"/>
      <c r="C1253" s="12" t="s">
        <v>22</v>
      </c>
      <c r="D1253" s="17">
        <v>0</v>
      </c>
      <c r="E1253" s="12" t="s">
        <v>22</v>
      </c>
      <c r="F1253" s="17">
        <v>0</v>
      </c>
      <c r="G1253" s="12" t="s">
        <v>22</v>
      </c>
      <c r="H1253" s="17">
        <v>0</v>
      </c>
      <c r="I1253" s="28"/>
      <c r="J1253" s="28"/>
      <c r="K1253" s="28"/>
    </row>
    <row r="1254" spans="1:11" s="4" customFormat="1" x14ac:dyDescent="0.25">
      <c r="A1254" s="40"/>
      <c r="B1254" s="43"/>
      <c r="C1254" s="12" t="s">
        <v>23</v>
      </c>
      <c r="D1254" s="17">
        <v>0</v>
      </c>
      <c r="E1254" s="12" t="s">
        <v>23</v>
      </c>
      <c r="F1254" s="17">
        <v>0</v>
      </c>
      <c r="G1254" s="12" t="s">
        <v>23</v>
      </c>
      <c r="H1254" s="17">
        <v>0</v>
      </c>
      <c r="I1254" s="28"/>
      <c r="J1254" s="28"/>
      <c r="K1254" s="28"/>
    </row>
    <row r="1255" spans="1:11" s="4" customFormat="1" x14ac:dyDescent="0.25">
      <c r="A1255" s="40"/>
      <c r="B1255" s="43"/>
      <c r="C1255" s="12" t="s">
        <v>24</v>
      </c>
      <c r="D1255" s="17">
        <f>200000/1000</f>
        <v>200</v>
      </c>
      <c r="E1255" s="12" t="s">
        <v>24</v>
      </c>
      <c r="F1255" s="17">
        <v>0</v>
      </c>
      <c r="G1255" s="12" t="s">
        <v>24</v>
      </c>
      <c r="H1255" s="17">
        <v>0</v>
      </c>
      <c r="I1255" s="28"/>
      <c r="J1255" s="28"/>
      <c r="K1255" s="28"/>
    </row>
    <row r="1256" spans="1:11" s="4" customFormat="1" x14ac:dyDescent="0.25">
      <c r="A1256" s="41"/>
      <c r="B1256" s="44"/>
      <c r="C1256" s="12" t="s">
        <v>25</v>
      </c>
      <c r="D1256" s="17">
        <v>0</v>
      </c>
      <c r="E1256" s="12" t="s">
        <v>25</v>
      </c>
      <c r="F1256" s="17">
        <v>0</v>
      </c>
      <c r="G1256" s="12" t="s">
        <v>25</v>
      </c>
      <c r="H1256" s="17">
        <v>0</v>
      </c>
      <c r="I1256" s="29"/>
      <c r="J1256" s="28"/>
      <c r="K1256" s="29"/>
    </row>
    <row r="1257" spans="1:11" s="4" customFormat="1" x14ac:dyDescent="0.25">
      <c r="A1257" s="39" t="s">
        <v>422</v>
      </c>
      <c r="B1257" s="42" t="s">
        <v>423</v>
      </c>
      <c r="C1257" s="9" t="s">
        <v>28</v>
      </c>
      <c r="D1257" s="17">
        <f>D1259+D1260+D1261+D1262</f>
        <v>250</v>
      </c>
      <c r="E1257" s="9" t="s">
        <v>28</v>
      </c>
      <c r="F1257" s="17">
        <f>F1259+F1260+F1261+F1262</f>
        <v>0</v>
      </c>
      <c r="G1257" s="9" t="s">
        <v>28</v>
      </c>
      <c r="H1257" s="17">
        <f>H1259+H1260+H1261+H1262</f>
        <v>0</v>
      </c>
      <c r="I1257" s="27" t="s">
        <v>248</v>
      </c>
      <c r="J1257" s="28"/>
      <c r="K1257" s="27" t="s">
        <v>214</v>
      </c>
    </row>
    <row r="1258" spans="1:11" s="4" customFormat="1" x14ac:dyDescent="0.25">
      <c r="A1258" s="40"/>
      <c r="B1258" s="43"/>
      <c r="C1258" s="9" t="s">
        <v>21</v>
      </c>
      <c r="D1258" s="17"/>
      <c r="E1258" s="9" t="s">
        <v>21</v>
      </c>
      <c r="F1258" s="17"/>
      <c r="G1258" s="9" t="s">
        <v>21</v>
      </c>
      <c r="H1258" s="17"/>
      <c r="I1258" s="28"/>
      <c r="J1258" s="28"/>
      <c r="K1258" s="28"/>
    </row>
    <row r="1259" spans="1:11" s="4" customFormat="1" x14ac:dyDescent="0.25">
      <c r="A1259" s="40"/>
      <c r="B1259" s="43"/>
      <c r="C1259" s="12" t="s">
        <v>22</v>
      </c>
      <c r="D1259" s="17">
        <v>0</v>
      </c>
      <c r="E1259" s="12" t="s">
        <v>22</v>
      </c>
      <c r="F1259" s="17">
        <v>0</v>
      </c>
      <c r="G1259" s="12" t="s">
        <v>22</v>
      </c>
      <c r="H1259" s="17">
        <v>0</v>
      </c>
      <c r="I1259" s="28"/>
      <c r="J1259" s="28"/>
      <c r="K1259" s="28"/>
    </row>
    <row r="1260" spans="1:11" s="4" customFormat="1" x14ac:dyDescent="0.25">
      <c r="A1260" s="40"/>
      <c r="B1260" s="43"/>
      <c r="C1260" s="12" t="s">
        <v>23</v>
      </c>
      <c r="D1260" s="17">
        <v>0</v>
      </c>
      <c r="E1260" s="12" t="s">
        <v>23</v>
      </c>
      <c r="F1260" s="17">
        <v>0</v>
      </c>
      <c r="G1260" s="12" t="s">
        <v>23</v>
      </c>
      <c r="H1260" s="17">
        <v>0</v>
      </c>
      <c r="I1260" s="28"/>
      <c r="J1260" s="28"/>
      <c r="K1260" s="28"/>
    </row>
    <row r="1261" spans="1:11" s="4" customFormat="1" x14ac:dyDescent="0.25">
      <c r="A1261" s="40"/>
      <c r="B1261" s="43"/>
      <c r="C1261" s="12" t="s">
        <v>24</v>
      </c>
      <c r="D1261" s="17">
        <f>250000/1000</f>
        <v>250</v>
      </c>
      <c r="E1261" s="12" t="s">
        <v>24</v>
      </c>
      <c r="F1261" s="17">
        <v>0</v>
      </c>
      <c r="G1261" s="12" t="s">
        <v>24</v>
      </c>
      <c r="H1261" s="17">
        <v>0</v>
      </c>
      <c r="I1261" s="28"/>
      <c r="J1261" s="28"/>
      <c r="K1261" s="28"/>
    </row>
    <row r="1262" spans="1:11" s="4" customFormat="1" x14ac:dyDescent="0.25">
      <c r="A1262" s="41"/>
      <c r="B1262" s="44"/>
      <c r="C1262" s="12" t="s">
        <v>25</v>
      </c>
      <c r="D1262" s="17">
        <v>0</v>
      </c>
      <c r="E1262" s="12" t="s">
        <v>25</v>
      </c>
      <c r="F1262" s="17">
        <v>0</v>
      </c>
      <c r="G1262" s="12" t="s">
        <v>25</v>
      </c>
      <c r="H1262" s="17">
        <v>0</v>
      </c>
      <c r="I1262" s="29"/>
      <c r="J1262" s="28"/>
      <c r="K1262" s="29"/>
    </row>
    <row r="1263" spans="1:11" s="4" customFormat="1" x14ac:dyDescent="0.25">
      <c r="A1263" s="39" t="s">
        <v>424</v>
      </c>
      <c r="B1263" s="42" t="s">
        <v>425</v>
      </c>
      <c r="C1263" s="9" t="s">
        <v>28</v>
      </c>
      <c r="D1263" s="17">
        <f>D1265+D1266+D1267+D1268</f>
        <v>187.20676</v>
      </c>
      <c r="E1263" s="9" t="s">
        <v>28</v>
      </c>
      <c r="F1263" s="17">
        <f>F1265+F1266+F1267+F1268</f>
        <v>0</v>
      </c>
      <c r="G1263" s="9" t="s">
        <v>28</v>
      </c>
      <c r="H1263" s="17">
        <f>H1265+H1266+H1267+H1268</f>
        <v>0</v>
      </c>
      <c r="I1263" s="27" t="s">
        <v>248</v>
      </c>
      <c r="J1263" s="28"/>
      <c r="K1263" s="27" t="s">
        <v>214</v>
      </c>
    </row>
    <row r="1264" spans="1:11" s="4" customFormat="1" x14ac:dyDescent="0.25">
      <c r="A1264" s="40"/>
      <c r="B1264" s="43"/>
      <c r="C1264" s="9" t="s">
        <v>21</v>
      </c>
      <c r="D1264" s="17"/>
      <c r="E1264" s="9" t="s">
        <v>21</v>
      </c>
      <c r="F1264" s="17"/>
      <c r="G1264" s="9" t="s">
        <v>21</v>
      </c>
      <c r="H1264" s="17"/>
      <c r="I1264" s="28"/>
      <c r="J1264" s="28"/>
      <c r="K1264" s="28"/>
    </row>
    <row r="1265" spans="1:11" s="4" customFormat="1" x14ac:dyDescent="0.25">
      <c r="A1265" s="40"/>
      <c r="B1265" s="43"/>
      <c r="C1265" s="12" t="s">
        <v>22</v>
      </c>
      <c r="D1265" s="17">
        <v>0</v>
      </c>
      <c r="E1265" s="12" t="s">
        <v>22</v>
      </c>
      <c r="F1265" s="17">
        <v>0</v>
      </c>
      <c r="G1265" s="12" t="s">
        <v>22</v>
      </c>
      <c r="H1265" s="17">
        <v>0</v>
      </c>
      <c r="I1265" s="28"/>
      <c r="J1265" s="28"/>
      <c r="K1265" s="28"/>
    </row>
    <row r="1266" spans="1:11" s="4" customFormat="1" x14ac:dyDescent="0.25">
      <c r="A1266" s="40"/>
      <c r="B1266" s="43"/>
      <c r="C1266" s="12" t="s">
        <v>23</v>
      </c>
      <c r="D1266" s="17">
        <v>0</v>
      </c>
      <c r="E1266" s="12" t="s">
        <v>23</v>
      </c>
      <c r="F1266" s="17">
        <v>0</v>
      </c>
      <c r="G1266" s="12" t="s">
        <v>23</v>
      </c>
      <c r="H1266" s="17">
        <v>0</v>
      </c>
      <c r="I1266" s="28"/>
      <c r="J1266" s="28"/>
      <c r="K1266" s="28"/>
    </row>
    <row r="1267" spans="1:11" s="4" customFormat="1" x14ac:dyDescent="0.25">
      <c r="A1267" s="40"/>
      <c r="B1267" s="43"/>
      <c r="C1267" s="12" t="s">
        <v>24</v>
      </c>
      <c r="D1267" s="17">
        <f>187206.76/1000</f>
        <v>187.20676</v>
      </c>
      <c r="E1267" s="12" t="s">
        <v>24</v>
      </c>
      <c r="F1267" s="17">
        <v>0</v>
      </c>
      <c r="G1267" s="12" t="s">
        <v>24</v>
      </c>
      <c r="H1267" s="17">
        <v>0</v>
      </c>
      <c r="I1267" s="28"/>
      <c r="J1267" s="28"/>
      <c r="K1267" s="28"/>
    </row>
    <row r="1268" spans="1:11" s="4" customFormat="1" x14ac:dyDescent="0.25">
      <c r="A1268" s="41"/>
      <c r="B1268" s="44"/>
      <c r="C1268" s="12" t="s">
        <v>25</v>
      </c>
      <c r="D1268" s="17">
        <v>0</v>
      </c>
      <c r="E1268" s="12" t="s">
        <v>25</v>
      </c>
      <c r="F1268" s="17">
        <v>0</v>
      </c>
      <c r="G1268" s="12" t="s">
        <v>25</v>
      </c>
      <c r="H1268" s="17">
        <v>0</v>
      </c>
      <c r="I1268" s="29"/>
      <c r="J1268" s="28"/>
      <c r="K1268" s="29"/>
    </row>
    <row r="1269" spans="1:11" s="4" customFormat="1" x14ac:dyDescent="0.25">
      <c r="A1269" s="39" t="s">
        <v>426</v>
      </c>
      <c r="B1269" s="42" t="s">
        <v>427</v>
      </c>
      <c r="C1269" s="9" t="s">
        <v>28</v>
      </c>
      <c r="D1269" s="17">
        <f>D1271+D1272+D1273+D1274</f>
        <v>187.21</v>
      </c>
      <c r="E1269" s="9" t="s">
        <v>28</v>
      </c>
      <c r="F1269" s="17">
        <f>F1271+F1272+F1273+F1274</f>
        <v>0</v>
      </c>
      <c r="G1269" s="9" t="s">
        <v>28</v>
      </c>
      <c r="H1269" s="17">
        <f>H1271+H1272+H1273+H1274</f>
        <v>0</v>
      </c>
      <c r="I1269" s="27" t="s">
        <v>248</v>
      </c>
      <c r="J1269" s="28"/>
      <c r="K1269" s="27" t="s">
        <v>214</v>
      </c>
    </row>
    <row r="1270" spans="1:11" s="4" customFormat="1" x14ac:dyDescent="0.25">
      <c r="A1270" s="40"/>
      <c r="B1270" s="43"/>
      <c r="C1270" s="9" t="s">
        <v>21</v>
      </c>
      <c r="D1270" s="17"/>
      <c r="E1270" s="9" t="s">
        <v>21</v>
      </c>
      <c r="F1270" s="17"/>
      <c r="G1270" s="9" t="s">
        <v>21</v>
      </c>
      <c r="H1270" s="17"/>
      <c r="I1270" s="28"/>
      <c r="J1270" s="28"/>
      <c r="K1270" s="28"/>
    </row>
    <row r="1271" spans="1:11" s="4" customFormat="1" x14ac:dyDescent="0.25">
      <c r="A1271" s="40"/>
      <c r="B1271" s="43"/>
      <c r="C1271" s="12" t="s">
        <v>22</v>
      </c>
      <c r="D1271" s="17">
        <v>0</v>
      </c>
      <c r="E1271" s="12" t="s">
        <v>22</v>
      </c>
      <c r="F1271" s="17">
        <v>0</v>
      </c>
      <c r="G1271" s="12" t="s">
        <v>22</v>
      </c>
      <c r="H1271" s="17">
        <v>0</v>
      </c>
      <c r="I1271" s="28"/>
      <c r="J1271" s="28"/>
      <c r="K1271" s="28"/>
    </row>
    <row r="1272" spans="1:11" s="4" customFormat="1" x14ac:dyDescent="0.25">
      <c r="A1272" s="40"/>
      <c r="B1272" s="43"/>
      <c r="C1272" s="12" t="s">
        <v>23</v>
      </c>
      <c r="D1272" s="17">
        <v>0</v>
      </c>
      <c r="E1272" s="12" t="s">
        <v>23</v>
      </c>
      <c r="F1272" s="17">
        <v>0</v>
      </c>
      <c r="G1272" s="12" t="s">
        <v>23</v>
      </c>
      <c r="H1272" s="17">
        <v>0</v>
      </c>
      <c r="I1272" s="28"/>
      <c r="J1272" s="28"/>
      <c r="K1272" s="28"/>
    </row>
    <row r="1273" spans="1:11" s="4" customFormat="1" x14ac:dyDescent="0.25">
      <c r="A1273" s="40"/>
      <c r="B1273" s="43"/>
      <c r="C1273" s="12" t="s">
        <v>24</v>
      </c>
      <c r="D1273" s="17">
        <f>187210/1000</f>
        <v>187.21</v>
      </c>
      <c r="E1273" s="12" t="s">
        <v>24</v>
      </c>
      <c r="F1273" s="17">
        <v>0</v>
      </c>
      <c r="G1273" s="12" t="s">
        <v>24</v>
      </c>
      <c r="H1273" s="17">
        <v>0</v>
      </c>
      <c r="I1273" s="28"/>
      <c r="J1273" s="28"/>
      <c r="K1273" s="28"/>
    </row>
    <row r="1274" spans="1:11" s="4" customFormat="1" x14ac:dyDescent="0.25">
      <c r="A1274" s="41"/>
      <c r="B1274" s="44"/>
      <c r="C1274" s="12" t="s">
        <v>25</v>
      </c>
      <c r="D1274" s="17">
        <v>0</v>
      </c>
      <c r="E1274" s="12" t="s">
        <v>25</v>
      </c>
      <c r="F1274" s="17">
        <v>0</v>
      </c>
      <c r="G1274" s="12" t="s">
        <v>25</v>
      </c>
      <c r="H1274" s="17">
        <v>0</v>
      </c>
      <c r="I1274" s="29"/>
      <c r="J1274" s="28"/>
      <c r="K1274" s="29"/>
    </row>
    <row r="1275" spans="1:11" s="4" customFormat="1" x14ac:dyDescent="0.25">
      <c r="A1275" s="39" t="s">
        <v>428</v>
      </c>
      <c r="B1275" s="42" t="s">
        <v>429</v>
      </c>
      <c r="C1275" s="9" t="s">
        <v>28</v>
      </c>
      <c r="D1275" s="17">
        <f>D1277+D1278+D1279+D1280</f>
        <v>17.234999999999999</v>
      </c>
      <c r="E1275" s="9" t="s">
        <v>28</v>
      </c>
      <c r="F1275" s="17">
        <f>F1277+F1278+F1279+F1280</f>
        <v>0</v>
      </c>
      <c r="G1275" s="9" t="s">
        <v>28</v>
      </c>
      <c r="H1275" s="17">
        <f>H1277+H1278+H1279+H1280</f>
        <v>0</v>
      </c>
      <c r="I1275" s="27" t="s">
        <v>248</v>
      </c>
      <c r="J1275" s="28"/>
      <c r="K1275" s="27" t="s">
        <v>214</v>
      </c>
    </row>
    <row r="1276" spans="1:11" s="4" customFormat="1" x14ac:dyDescent="0.25">
      <c r="A1276" s="40"/>
      <c r="B1276" s="43"/>
      <c r="C1276" s="9" t="s">
        <v>21</v>
      </c>
      <c r="D1276" s="17"/>
      <c r="E1276" s="9" t="s">
        <v>21</v>
      </c>
      <c r="F1276" s="17"/>
      <c r="G1276" s="9" t="s">
        <v>21</v>
      </c>
      <c r="H1276" s="17"/>
      <c r="I1276" s="28"/>
      <c r="J1276" s="28"/>
      <c r="K1276" s="28"/>
    </row>
    <row r="1277" spans="1:11" s="4" customFormat="1" x14ac:dyDescent="0.25">
      <c r="A1277" s="40"/>
      <c r="B1277" s="43"/>
      <c r="C1277" s="12" t="s">
        <v>22</v>
      </c>
      <c r="D1277" s="17">
        <v>0</v>
      </c>
      <c r="E1277" s="12" t="s">
        <v>22</v>
      </c>
      <c r="F1277" s="17">
        <v>0</v>
      </c>
      <c r="G1277" s="12" t="s">
        <v>22</v>
      </c>
      <c r="H1277" s="17">
        <v>0</v>
      </c>
      <c r="I1277" s="28"/>
      <c r="J1277" s="28"/>
      <c r="K1277" s="28"/>
    </row>
    <row r="1278" spans="1:11" s="4" customFormat="1" x14ac:dyDescent="0.25">
      <c r="A1278" s="40"/>
      <c r="B1278" s="43"/>
      <c r="C1278" s="12" t="s">
        <v>23</v>
      </c>
      <c r="D1278" s="17">
        <v>0</v>
      </c>
      <c r="E1278" s="12" t="s">
        <v>23</v>
      </c>
      <c r="F1278" s="17">
        <v>0</v>
      </c>
      <c r="G1278" s="12" t="s">
        <v>23</v>
      </c>
      <c r="H1278" s="17">
        <v>0</v>
      </c>
      <c r="I1278" s="28"/>
      <c r="J1278" s="28"/>
      <c r="K1278" s="28"/>
    </row>
    <row r="1279" spans="1:11" s="4" customFormat="1" x14ac:dyDescent="0.25">
      <c r="A1279" s="40"/>
      <c r="B1279" s="43"/>
      <c r="C1279" s="12" t="s">
        <v>24</v>
      </c>
      <c r="D1279" s="17">
        <f>17245/1000-0.01</f>
        <v>17.234999999999999</v>
      </c>
      <c r="E1279" s="12" t="s">
        <v>24</v>
      </c>
      <c r="F1279" s="17">
        <v>0</v>
      </c>
      <c r="G1279" s="12" t="s">
        <v>24</v>
      </c>
      <c r="H1279" s="17">
        <v>0</v>
      </c>
      <c r="I1279" s="28"/>
      <c r="J1279" s="28"/>
      <c r="K1279" s="28"/>
    </row>
    <row r="1280" spans="1:11" s="4" customFormat="1" x14ac:dyDescent="0.25">
      <c r="A1280" s="41"/>
      <c r="B1280" s="44"/>
      <c r="C1280" s="12" t="s">
        <v>25</v>
      </c>
      <c r="D1280" s="17">
        <v>0</v>
      </c>
      <c r="E1280" s="12" t="s">
        <v>25</v>
      </c>
      <c r="F1280" s="17">
        <v>0</v>
      </c>
      <c r="G1280" s="12" t="s">
        <v>25</v>
      </c>
      <c r="H1280" s="17">
        <v>0</v>
      </c>
      <c r="I1280" s="29"/>
      <c r="J1280" s="28"/>
      <c r="K1280" s="29"/>
    </row>
    <row r="1281" spans="1:11" s="4" customFormat="1" x14ac:dyDescent="0.25">
      <c r="A1281" s="39" t="s">
        <v>430</v>
      </c>
      <c r="B1281" s="42" t="s">
        <v>431</v>
      </c>
      <c r="C1281" s="9" t="s">
        <v>28</v>
      </c>
      <c r="D1281" s="17">
        <f>D1283+D1284+D1285+D1286</f>
        <v>18.319929999999999</v>
      </c>
      <c r="E1281" s="9" t="s">
        <v>28</v>
      </c>
      <c r="F1281" s="17">
        <f>F1283+F1284+F1285+F1286</f>
        <v>0</v>
      </c>
      <c r="G1281" s="9" t="s">
        <v>28</v>
      </c>
      <c r="H1281" s="17">
        <f>H1283+H1284+H1285+H1286</f>
        <v>0</v>
      </c>
      <c r="I1281" s="27" t="s">
        <v>248</v>
      </c>
      <c r="J1281" s="28"/>
      <c r="K1281" s="27" t="s">
        <v>214</v>
      </c>
    </row>
    <row r="1282" spans="1:11" s="4" customFormat="1" x14ac:dyDescent="0.25">
      <c r="A1282" s="40"/>
      <c r="B1282" s="43"/>
      <c r="C1282" s="9" t="s">
        <v>21</v>
      </c>
      <c r="D1282" s="17"/>
      <c r="E1282" s="9" t="s">
        <v>21</v>
      </c>
      <c r="F1282" s="17"/>
      <c r="G1282" s="9" t="s">
        <v>21</v>
      </c>
      <c r="H1282" s="17"/>
      <c r="I1282" s="28"/>
      <c r="J1282" s="28"/>
      <c r="K1282" s="28"/>
    </row>
    <row r="1283" spans="1:11" s="4" customFormat="1" x14ac:dyDescent="0.25">
      <c r="A1283" s="40"/>
      <c r="B1283" s="43"/>
      <c r="C1283" s="12" t="s">
        <v>22</v>
      </c>
      <c r="D1283" s="17">
        <v>0</v>
      </c>
      <c r="E1283" s="12" t="s">
        <v>22</v>
      </c>
      <c r="F1283" s="17">
        <v>0</v>
      </c>
      <c r="G1283" s="12" t="s">
        <v>22</v>
      </c>
      <c r="H1283" s="17">
        <v>0</v>
      </c>
      <c r="I1283" s="28"/>
      <c r="J1283" s="28"/>
      <c r="K1283" s="28"/>
    </row>
    <row r="1284" spans="1:11" s="4" customFormat="1" x14ac:dyDescent="0.25">
      <c r="A1284" s="40"/>
      <c r="B1284" s="43"/>
      <c r="C1284" s="12" t="s">
        <v>23</v>
      </c>
      <c r="D1284" s="17">
        <v>0</v>
      </c>
      <c r="E1284" s="12" t="s">
        <v>23</v>
      </c>
      <c r="F1284" s="17">
        <v>0</v>
      </c>
      <c r="G1284" s="12" t="s">
        <v>23</v>
      </c>
      <c r="H1284" s="17">
        <v>0</v>
      </c>
      <c r="I1284" s="28"/>
      <c r="J1284" s="28"/>
      <c r="K1284" s="28"/>
    </row>
    <row r="1285" spans="1:11" s="4" customFormat="1" x14ac:dyDescent="0.25">
      <c r="A1285" s="40"/>
      <c r="B1285" s="43"/>
      <c r="C1285" s="12" t="s">
        <v>24</v>
      </c>
      <c r="D1285" s="17">
        <f>18319.93/1000</f>
        <v>18.319929999999999</v>
      </c>
      <c r="E1285" s="12" t="s">
        <v>24</v>
      </c>
      <c r="F1285" s="17">
        <v>0</v>
      </c>
      <c r="G1285" s="12" t="s">
        <v>24</v>
      </c>
      <c r="H1285" s="17">
        <v>0</v>
      </c>
      <c r="I1285" s="28"/>
      <c r="J1285" s="28"/>
      <c r="K1285" s="28"/>
    </row>
    <row r="1286" spans="1:11" s="4" customFormat="1" x14ac:dyDescent="0.25">
      <c r="A1286" s="41"/>
      <c r="B1286" s="44"/>
      <c r="C1286" s="12" t="s">
        <v>25</v>
      </c>
      <c r="D1286" s="17">
        <v>0</v>
      </c>
      <c r="E1286" s="12" t="s">
        <v>25</v>
      </c>
      <c r="F1286" s="17">
        <v>0</v>
      </c>
      <c r="G1286" s="12" t="s">
        <v>25</v>
      </c>
      <c r="H1286" s="17">
        <v>0</v>
      </c>
      <c r="I1286" s="29"/>
      <c r="J1286" s="28"/>
      <c r="K1286" s="29"/>
    </row>
    <row r="1287" spans="1:11" s="4" customFormat="1" x14ac:dyDescent="0.25">
      <c r="A1287" s="39" t="s">
        <v>432</v>
      </c>
      <c r="B1287" s="42" t="s">
        <v>433</v>
      </c>
      <c r="C1287" s="9" t="s">
        <v>28</v>
      </c>
      <c r="D1287" s="17">
        <f>D1289+D1290+D1291+D1292</f>
        <v>265</v>
      </c>
      <c r="E1287" s="9" t="s">
        <v>28</v>
      </c>
      <c r="F1287" s="17">
        <f>F1289+F1290+F1291+F1292</f>
        <v>0</v>
      </c>
      <c r="G1287" s="9" t="s">
        <v>28</v>
      </c>
      <c r="H1287" s="17">
        <f>H1289+H1290+H1291+H1292</f>
        <v>0</v>
      </c>
      <c r="I1287" s="27" t="s">
        <v>248</v>
      </c>
      <c r="J1287" s="28"/>
      <c r="K1287" s="27" t="s">
        <v>214</v>
      </c>
    </row>
    <row r="1288" spans="1:11" s="4" customFormat="1" x14ac:dyDescent="0.25">
      <c r="A1288" s="40"/>
      <c r="B1288" s="43"/>
      <c r="C1288" s="9" t="s">
        <v>21</v>
      </c>
      <c r="D1288" s="17"/>
      <c r="E1288" s="9" t="s">
        <v>21</v>
      </c>
      <c r="F1288" s="17"/>
      <c r="G1288" s="9" t="s">
        <v>21</v>
      </c>
      <c r="H1288" s="17"/>
      <c r="I1288" s="28"/>
      <c r="J1288" s="28"/>
      <c r="K1288" s="28"/>
    </row>
    <row r="1289" spans="1:11" s="4" customFormat="1" x14ac:dyDescent="0.25">
      <c r="A1289" s="40"/>
      <c r="B1289" s="43"/>
      <c r="C1289" s="12" t="s">
        <v>22</v>
      </c>
      <c r="D1289" s="17">
        <v>0</v>
      </c>
      <c r="E1289" s="12" t="s">
        <v>22</v>
      </c>
      <c r="F1289" s="17">
        <v>0</v>
      </c>
      <c r="G1289" s="12" t="s">
        <v>22</v>
      </c>
      <c r="H1289" s="17">
        <v>0</v>
      </c>
      <c r="I1289" s="28"/>
      <c r="J1289" s="28"/>
      <c r="K1289" s="28"/>
    </row>
    <row r="1290" spans="1:11" s="4" customFormat="1" x14ac:dyDescent="0.25">
      <c r="A1290" s="40"/>
      <c r="B1290" s="43"/>
      <c r="C1290" s="12" t="s">
        <v>23</v>
      </c>
      <c r="D1290" s="17">
        <v>0</v>
      </c>
      <c r="E1290" s="12" t="s">
        <v>23</v>
      </c>
      <c r="F1290" s="17">
        <v>0</v>
      </c>
      <c r="G1290" s="12" t="s">
        <v>23</v>
      </c>
      <c r="H1290" s="17">
        <v>0</v>
      </c>
      <c r="I1290" s="28"/>
      <c r="J1290" s="28"/>
      <c r="K1290" s="28"/>
    </row>
    <row r="1291" spans="1:11" s="4" customFormat="1" x14ac:dyDescent="0.25">
      <c r="A1291" s="40"/>
      <c r="B1291" s="43"/>
      <c r="C1291" s="12" t="s">
        <v>24</v>
      </c>
      <c r="D1291" s="17">
        <f>265000/1000</f>
        <v>265</v>
      </c>
      <c r="E1291" s="12" t="s">
        <v>24</v>
      </c>
      <c r="F1291" s="17">
        <v>0</v>
      </c>
      <c r="G1291" s="12" t="s">
        <v>24</v>
      </c>
      <c r="H1291" s="17">
        <v>0</v>
      </c>
      <c r="I1291" s="28"/>
      <c r="J1291" s="28"/>
      <c r="K1291" s="28"/>
    </row>
    <row r="1292" spans="1:11" s="4" customFormat="1" x14ac:dyDescent="0.25">
      <c r="A1292" s="41"/>
      <c r="B1292" s="44"/>
      <c r="C1292" s="12" t="s">
        <v>25</v>
      </c>
      <c r="D1292" s="17">
        <v>0</v>
      </c>
      <c r="E1292" s="12" t="s">
        <v>25</v>
      </c>
      <c r="F1292" s="17">
        <v>0</v>
      </c>
      <c r="G1292" s="12" t="s">
        <v>25</v>
      </c>
      <c r="H1292" s="17">
        <v>0</v>
      </c>
      <c r="I1292" s="29"/>
      <c r="J1292" s="28"/>
      <c r="K1292" s="29"/>
    </row>
    <row r="1293" spans="1:11" s="4" customFormat="1" x14ac:dyDescent="0.25">
      <c r="A1293" s="39" t="s">
        <v>434</v>
      </c>
      <c r="B1293" s="42" t="s">
        <v>435</v>
      </c>
      <c r="C1293" s="9" t="s">
        <v>28</v>
      </c>
      <c r="D1293" s="17">
        <f>D1295+D1296+D1297+D1298</f>
        <v>265</v>
      </c>
      <c r="E1293" s="9" t="s">
        <v>28</v>
      </c>
      <c r="F1293" s="17">
        <f>F1295+F1296+F1297+F1298</f>
        <v>0</v>
      </c>
      <c r="G1293" s="9" t="s">
        <v>28</v>
      </c>
      <c r="H1293" s="17">
        <f>H1295+H1296+H1297+H1298</f>
        <v>0</v>
      </c>
      <c r="I1293" s="27" t="s">
        <v>248</v>
      </c>
      <c r="J1293" s="28"/>
      <c r="K1293" s="27" t="s">
        <v>214</v>
      </c>
    </row>
    <row r="1294" spans="1:11" s="4" customFormat="1" x14ac:dyDescent="0.25">
      <c r="A1294" s="40"/>
      <c r="B1294" s="43"/>
      <c r="C1294" s="9" t="s">
        <v>21</v>
      </c>
      <c r="D1294" s="17"/>
      <c r="E1294" s="9" t="s">
        <v>21</v>
      </c>
      <c r="F1294" s="17"/>
      <c r="G1294" s="9" t="s">
        <v>21</v>
      </c>
      <c r="H1294" s="17"/>
      <c r="I1294" s="28"/>
      <c r="J1294" s="28"/>
      <c r="K1294" s="28"/>
    </row>
    <row r="1295" spans="1:11" s="4" customFormat="1" x14ac:dyDescent="0.25">
      <c r="A1295" s="40"/>
      <c r="B1295" s="43"/>
      <c r="C1295" s="12" t="s">
        <v>22</v>
      </c>
      <c r="D1295" s="17">
        <v>0</v>
      </c>
      <c r="E1295" s="12" t="s">
        <v>22</v>
      </c>
      <c r="F1295" s="17">
        <v>0</v>
      </c>
      <c r="G1295" s="12" t="s">
        <v>22</v>
      </c>
      <c r="H1295" s="17">
        <v>0</v>
      </c>
      <c r="I1295" s="28"/>
      <c r="J1295" s="28"/>
      <c r="K1295" s="28"/>
    </row>
    <row r="1296" spans="1:11" s="4" customFormat="1" x14ac:dyDescent="0.25">
      <c r="A1296" s="40"/>
      <c r="B1296" s="43"/>
      <c r="C1296" s="12" t="s">
        <v>23</v>
      </c>
      <c r="D1296" s="17">
        <v>0</v>
      </c>
      <c r="E1296" s="12" t="s">
        <v>23</v>
      </c>
      <c r="F1296" s="17">
        <v>0</v>
      </c>
      <c r="G1296" s="12" t="s">
        <v>23</v>
      </c>
      <c r="H1296" s="17">
        <v>0</v>
      </c>
      <c r="I1296" s="28"/>
      <c r="J1296" s="28"/>
      <c r="K1296" s="28"/>
    </row>
    <row r="1297" spans="1:11" s="4" customFormat="1" x14ac:dyDescent="0.25">
      <c r="A1297" s="40"/>
      <c r="B1297" s="43"/>
      <c r="C1297" s="12" t="s">
        <v>24</v>
      </c>
      <c r="D1297" s="17">
        <f>265000/1000</f>
        <v>265</v>
      </c>
      <c r="E1297" s="12" t="s">
        <v>24</v>
      </c>
      <c r="F1297" s="17">
        <v>0</v>
      </c>
      <c r="G1297" s="12" t="s">
        <v>24</v>
      </c>
      <c r="H1297" s="17">
        <v>0</v>
      </c>
      <c r="I1297" s="28"/>
      <c r="J1297" s="28"/>
      <c r="K1297" s="28"/>
    </row>
    <row r="1298" spans="1:11" s="4" customFormat="1" x14ac:dyDescent="0.25">
      <c r="A1298" s="41"/>
      <c r="B1298" s="44"/>
      <c r="C1298" s="12" t="s">
        <v>25</v>
      </c>
      <c r="D1298" s="17">
        <v>0</v>
      </c>
      <c r="E1298" s="12" t="s">
        <v>25</v>
      </c>
      <c r="F1298" s="17">
        <v>0</v>
      </c>
      <c r="G1298" s="12" t="s">
        <v>25</v>
      </c>
      <c r="H1298" s="17">
        <v>0</v>
      </c>
      <c r="I1298" s="29"/>
      <c r="J1298" s="28"/>
      <c r="K1298" s="29"/>
    </row>
    <row r="1299" spans="1:11" s="4" customFormat="1" x14ac:dyDescent="0.25">
      <c r="A1299" s="39" t="s">
        <v>436</v>
      </c>
      <c r="B1299" s="42" t="s">
        <v>437</v>
      </c>
      <c r="C1299" s="9" t="s">
        <v>28</v>
      </c>
      <c r="D1299" s="17">
        <f>D1301+D1302+D1303+D1304</f>
        <v>265</v>
      </c>
      <c r="E1299" s="9" t="s">
        <v>28</v>
      </c>
      <c r="F1299" s="17">
        <f>F1301+F1302+F1303+F1304</f>
        <v>0</v>
      </c>
      <c r="G1299" s="9" t="s">
        <v>28</v>
      </c>
      <c r="H1299" s="17">
        <f>H1301+H1302+H1303+H1304</f>
        <v>0</v>
      </c>
      <c r="I1299" s="27" t="s">
        <v>248</v>
      </c>
      <c r="J1299" s="28"/>
      <c r="K1299" s="27" t="s">
        <v>214</v>
      </c>
    </row>
    <row r="1300" spans="1:11" s="4" customFormat="1" x14ac:dyDescent="0.25">
      <c r="A1300" s="40"/>
      <c r="B1300" s="43"/>
      <c r="C1300" s="9" t="s">
        <v>21</v>
      </c>
      <c r="D1300" s="17"/>
      <c r="E1300" s="9" t="s">
        <v>21</v>
      </c>
      <c r="F1300" s="17"/>
      <c r="G1300" s="9" t="s">
        <v>21</v>
      </c>
      <c r="H1300" s="17"/>
      <c r="I1300" s="28"/>
      <c r="J1300" s="28"/>
      <c r="K1300" s="28"/>
    </row>
    <row r="1301" spans="1:11" s="4" customFormat="1" x14ac:dyDescent="0.25">
      <c r="A1301" s="40"/>
      <c r="B1301" s="43"/>
      <c r="C1301" s="12" t="s">
        <v>22</v>
      </c>
      <c r="D1301" s="17">
        <v>0</v>
      </c>
      <c r="E1301" s="12" t="s">
        <v>22</v>
      </c>
      <c r="F1301" s="17">
        <v>0</v>
      </c>
      <c r="G1301" s="12" t="s">
        <v>22</v>
      </c>
      <c r="H1301" s="17">
        <v>0</v>
      </c>
      <c r="I1301" s="28"/>
      <c r="J1301" s="28"/>
      <c r="K1301" s="28"/>
    </row>
    <row r="1302" spans="1:11" s="4" customFormat="1" x14ac:dyDescent="0.25">
      <c r="A1302" s="40"/>
      <c r="B1302" s="43"/>
      <c r="C1302" s="12" t="s">
        <v>23</v>
      </c>
      <c r="D1302" s="17">
        <v>0</v>
      </c>
      <c r="E1302" s="12" t="s">
        <v>23</v>
      </c>
      <c r="F1302" s="17">
        <v>0</v>
      </c>
      <c r="G1302" s="12" t="s">
        <v>23</v>
      </c>
      <c r="H1302" s="17">
        <v>0</v>
      </c>
      <c r="I1302" s="28"/>
      <c r="J1302" s="28"/>
      <c r="K1302" s="28"/>
    </row>
    <row r="1303" spans="1:11" s="4" customFormat="1" x14ac:dyDescent="0.25">
      <c r="A1303" s="40"/>
      <c r="B1303" s="43"/>
      <c r="C1303" s="12" t="s">
        <v>24</v>
      </c>
      <c r="D1303" s="17">
        <f>265000/1000</f>
        <v>265</v>
      </c>
      <c r="E1303" s="12" t="s">
        <v>24</v>
      </c>
      <c r="F1303" s="17">
        <v>0</v>
      </c>
      <c r="G1303" s="12" t="s">
        <v>24</v>
      </c>
      <c r="H1303" s="17">
        <v>0</v>
      </c>
      <c r="I1303" s="28"/>
      <c r="J1303" s="28"/>
      <c r="K1303" s="28"/>
    </row>
    <row r="1304" spans="1:11" s="4" customFormat="1" x14ac:dyDescent="0.25">
      <c r="A1304" s="41"/>
      <c r="B1304" s="44"/>
      <c r="C1304" s="12" t="s">
        <v>25</v>
      </c>
      <c r="D1304" s="17">
        <v>0</v>
      </c>
      <c r="E1304" s="12" t="s">
        <v>25</v>
      </c>
      <c r="F1304" s="17">
        <v>0</v>
      </c>
      <c r="G1304" s="12" t="s">
        <v>25</v>
      </c>
      <c r="H1304" s="17">
        <v>0</v>
      </c>
      <c r="I1304" s="29"/>
      <c r="J1304" s="28"/>
      <c r="K1304" s="29"/>
    </row>
    <row r="1305" spans="1:11" s="4" customFormat="1" x14ac:dyDescent="0.25">
      <c r="A1305" s="39" t="s">
        <v>438</v>
      </c>
      <c r="B1305" s="42" t="s">
        <v>439</v>
      </c>
      <c r="C1305" s="9" t="s">
        <v>28</v>
      </c>
      <c r="D1305" s="17">
        <f>D1307+D1308+D1309+D1310</f>
        <v>325</v>
      </c>
      <c r="E1305" s="9" t="s">
        <v>28</v>
      </c>
      <c r="F1305" s="17">
        <f>F1307+F1308+F1309+F1310</f>
        <v>0</v>
      </c>
      <c r="G1305" s="9" t="s">
        <v>28</v>
      </c>
      <c r="H1305" s="17">
        <f>H1307+H1308+H1309+H1310</f>
        <v>0</v>
      </c>
      <c r="I1305" s="27" t="s">
        <v>248</v>
      </c>
      <c r="J1305" s="28"/>
      <c r="K1305" s="27" t="s">
        <v>214</v>
      </c>
    </row>
    <row r="1306" spans="1:11" s="4" customFormat="1" x14ac:dyDescent="0.25">
      <c r="A1306" s="40"/>
      <c r="B1306" s="43"/>
      <c r="C1306" s="9" t="s">
        <v>21</v>
      </c>
      <c r="D1306" s="17"/>
      <c r="E1306" s="9" t="s">
        <v>21</v>
      </c>
      <c r="F1306" s="17"/>
      <c r="G1306" s="9" t="s">
        <v>21</v>
      </c>
      <c r="H1306" s="17"/>
      <c r="I1306" s="28"/>
      <c r="J1306" s="28"/>
      <c r="K1306" s="28"/>
    </row>
    <row r="1307" spans="1:11" s="4" customFormat="1" x14ac:dyDescent="0.25">
      <c r="A1307" s="40"/>
      <c r="B1307" s="43"/>
      <c r="C1307" s="12" t="s">
        <v>22</v>
      </c>
      <c r="D1307" s="17">
        <v>0</v>
      </c>
      <c r="E1307" s="12" t="s">
        <v>22</v>
      </c>
      <c r="F1307" s="17">
        <v>0</v>
      </c>
      <c r="G1307" s="12" t="s">
        <v>22</v>
      </c>
      <c r="H1307" s="17">
        <v>0</v>
      </c>
      <c r="I1307" s="28"/>
      <c r="J1307" s="28"/>
      <c r="K1307" s="28"/>
    </row>
    <row r="1308" spans="1:11" s="4" customFormat="1" x14ac:dyDescent="0.25">
      <c r="A1308" s="40"/>
      <c r="B1308" s="43"/>
      <c r="C1308" s="12" t="s">
        <v>23</v>
      </c>
      <c r="D1308" s="17">
        <v>0</v>
      </c>
      <c r="E1308" s="12" t="s">
        <v>23</v>
      </c>
      <c r="F1308" s="17">
        <v>0</v>
      </c>
      <c r="G1308" s="12" t="s">
        <v>23</v>
      </c>
      <c r="H1308" s="17">
        <v>0</v>
      </c>
      <c r="I1308" s="28"/>
      <c r="J1308" s="28"/>
      <c r="K1308" s="28"/>
    </row>
    <row r="1309" spans="1:11" s="4" customFormat="1" x14ac:dyDescent="0.25">
      <c r="A1309" s="40"/>
      <c r="B1309" s="43"/>
      <c r="C1309" s="12" t="s">
        <v>24</v>
      </c>
      <c r="D1309" s="17">
        <f>325000/1000</f>
        <v>325</v>
      </c>
      <c r="E1309" s="12" t="s">
        <v>24</v>
      </c>
      <c r="F1309" s="17">
        <v>0</v>
      </c>
      <c r="G1309" s="12" t="s">
        <v>24</v>
      </c>
      <c r="H1309" s="17">
        <v>0</v>
      </c>
      <c r="I1309" s="28"/>
      <c r="J1309" s="28"/>
      <c r="K1309" s="28"/>
    </row>
    <row r="1310" spans="1:11" s="4" customFormat="1" x14ac:dyDescent="0.25">
      <c r="A1310" s="41"/>
      <c r="B1310" s="44"/>
      <c r="C1310" s="12" t="s">
        <v>25</v>
      </c>
      <c r="D1310" s="17">
        <v>0</v>
      </c>
      <c r="E1310" s="12" t="s">
        <v>25</v>
      </c>
      <c r="F1310" s="17">
        <v>0</v>
      </c>
      <c r="G1310" s="12" t="s">
        <v>25</v>
      </c>
      <c r="H1310" s="17">
        <v>0</v>
      </c>
      <c r="I1310" s="29"/>
      <c r="J1310" s="28"/>
      <c r="K1310" s="29"/>
    </row>
    <row r="1311" spans="1:11" s="4" customFormat="1" x14ac:dyDescent="0.25">
      <c r="A1311" s="39" t="s">
        <v>440</v>
      </c>
      <c r="B1311" s="42" t="s">
        <v>441</v>
      </c>
      <c r="C1311" s="9" t="s">
        <v>28</v>
      </c>
      <c r="D1311" s="17">
        <f>D1313+D1314+D1315+D1316</f>
        <v>265</v>
      </c>
      <c r="E1311" s="9" t="s">
        <v>28</v>
      </c>
      <c r="F1311" s="17">
        <f>F1313+F1314+F1315+F1316</f>
        <v>0</v>
      </c>
      <c r="G1311" s="9" t="s">
        <v>28</v>
      </c>
      <c r="H1311" s="17">
        <f>H1313+H1314+H1315+H1316</f>
        <v>0</v>
      </c>
      <c r="I1311" s="27" t="s">
        <v>248</v>
      </c>
      <c r="J1311" s="28"/>
      <c r="K1311" s="27" t="s">
        <v>214</v>
      </c>
    </row>
    <row r="1312" spans="1:11" s="4" customFormat="1" x14ac:dyDescent="0.25">
      <c r="A1312" s="40"/>
      <c r="B1312" s="43"/>
      <c r="C1312" s="9" t="s">
        <v>21</v>
      </c>
      <c r="D1312" s="17"/>
      <c r="E1312" s="9" t="s">
        <v>21</v>
      </c>
      <c r="F1312" s="17"/>
      <c r="G1312" s="9" t="s">
        <v>21</v>
      </c>
      <c r="H1312" s="17"/>
      <c r="I1312" s="28"/>
      <c r="J1312" s="28"/>
      <c r="K1312" s="28"/>
    </row>
    <row r="1313" spans="1:11" s="4" customFormat="1" x14ac:dyDescent="0.25">
      <c r="A1313" s="40"/>
      <c r="B1313" s="43"/>
      <c r="C1313" s="12" t="s">
        <v>22</v>
      </c>
      <c r="D1313" s="17">
        <v>0</v>
      </c>
      <c r="E1313" s="12" t="s">
        <v>22</v>
      </c>
      <c r="F1313" s="17">
        <v>0</v>
      </c>
      <c r="G1313" s="12" t="s">
        <v>22</v>
      </c>
      <c r="H1313" s="17">
        <v>0</v>
      </c>
      <c r="I1313" s="28"/>
      <c r="J1313" s="28"/>
      <c r="K1313" s="28"/>
    </row>
    <row r="1314" spans="1:11" s="4" customFormat="1" x14ac:dyDescent="0.25">
      <c r="A1314" s="40"/>
      <c r="B1314" s="43"/>
      <c r="C1314" s="12" t="s">
        <v>23</v>
      </c>
      <c r="D1314" s="17">
        <v>0</v>
      </c>
      <c r="E1314" s="12" t="s">
        <v>23</v>
      </c>
      <c r="F1314" s="17">
        <v>0</v>
      </c>
      <c r="G1314" s="12" t="s">
        <v>23</v>
      </c>
      <c r="H1314" s="17">
        <v>0</v>
      </c>
      <c r="I1314" s="28"/>
      <c r="J1314" s="28"/>
      <c r="K1314" s="28"/>
    </row>
    <row r="1315" spans="1:11" s="4" customFormat="1" x14ac:dyDescent="0.25">
      <c r="A1315" s="40"/>
      <c r="B1315" s="43"/>
      <c r="C1315" s="12" t="s">
        <v>24</v>
      </c>
      <c r="D1315" s="17">
        <v>265</v>
      </c>
      <c r="E1315" s="12" t="s">
        <v>24</v>
      </c>
      <c r="F1315" s="17">
        <v>0</v>
      </c>
      <c r="G1315" s="12" t="s">
        <v>24</v>
      </c>
      <c r="H1315" s="17">
        <v>0</v>
      </c>
      <c r="I1315" s="28"/>
      <c r="J1315" s="28"/>
      <c r="K1315" s="28"/>
    </row>
    <row r="1316" spans="1:11" s="4" customFormat="1" x14ac:dyDescent="0.25">
      <c r="A1316" s="41"/>
      <c r="B1316" s="44"/>
      <c r="C1316" s="12" t="s">
        <v>25</v>
      </c>
      <c r="D1316" s="17">
        <v>0</v>
      </c>
      <c r="E1316" s="12" t="s">
        <v>25</v>
      </c>
      <c r="F1316" s="17">
        <v>0</v>
      </c>
      <c r="G1316" s="12" t="s">
        <v>25</v>
      </c>
      <c r="H1316" s="17">
        <v>0</v>
      </c>
      <c r="I1316" s="29"/>
      <c r="J1316" s="28"/>
      <c r="K1316" s="29"/>
    </row>
    <row r="1317" spans="1:11" s="4" customFormat="1" x14ac:dyDescent="0.25">
      <c r="A1317" s="39" t="s">
        <v>442</v>
      </c>
      <c r="B1317" s="42" t="s">
        <v>443</v>
      </c>
      <c r="C1317" s="9" t="s">
        <v>28</v>
      </c>
      <c r="D1317" s="17">
        <f>D1319+D1320+D1321+D1322</f>
        <v>265</v>
      </c>
      <c r="E1317" s="9" t="s">
        <v>28</v>
      </c>
      <c r="F1317" s="17">
        <f>F1319+F1320+F1321+F1322</f>
        <v>0</v>
      </c>
      <c r="G1317" s="9" t="s">
        <v>28</v>
      </c>
      <c r="H1317" s="17">
        <f>H1319+H1320+H1321+H1322</f>
        <v>0</v>
      </c>
      <c r="I1317" s="27" t="s">
        <v>248</v>
      </c>
      <c r="J1317" s="28"/>
      <c r="K1317" s="27" t="s">
        <v>214</v>
      </c>
    </row>
    <row r="1318" spans="1:11" s="4" customFormat="1" x14ac:dyDescent="0.25">
      <c r="A1318" s="40"/>
      <c r="B1318" s="43"/>
      <c r="C1318" s="9" t="s">
        <v>21</v>
      </c>
      <c r="D1318" s="17"/>
      <c r="E1318" s="9" t="s">
        <v>21</v>
      </c>
      <c r="F1318" s="17"/>
      <c r="G1318" s="9" t="s">
        <v>21</v>
      </c>
      <c r="H1318" s="17"/>
      <c r="I1318" s="28"/>
      <c r="J1318" s="28"/>
      <c r="K1318" s="28"/>
    </row>
    <row r="1319" spans="1:11" s="4" customFormat="1" x14ac:dyDescent="0.25">
      <c r="A1319" s="40"/>
      <c r="B1319" s="43"/>
      <c r="C1319" s="12" t="s">
        <v>22</v>
      </c>
      <c r="D1319" s="17">
        <v>0</v>
      </c>
      <c r="E1319" s="12" t="s">
        <v>22</v>
      </c>
      <c r="F1319" s="17">
        <v>0</v>
      </c>
      <c r="G1319" s="12" t="s">
        <v>22</v>
      </c>
      <c r="H1319" s="17">
        <v>0</v>
      </c>
      <c r="I1319" s="28"/>
      <c r="J1319" s="28"/>
      <c r="K1319" s="28"/>
    </row>
    <row r="1320" spans="1:11" s="4" customFormat="1" x14ac:dyDescent="0.25">
      <c r="A1320" s="40"/>
      <c r="B1320" s="43"/>
      <c r="C1320" s="12" t="s">
        <v>23</v>
      </c>
      <c r="D1320" s="17">
        <v>0</v>
      </c>
      <c r="E1320" s="12" t="s">
        <v>23</v>
      </c>
      <c r="F1320" s="17">
        <v>0</v>
      </c>
      <c r="G1320" s="12" t="s">
        <v>23</v>
      </c>
      <c r="H1320" s="17">
        <v>0</v>
      </c>
      <c r="I1320" s="28"/>
      <c r="J1320" s="28"/>
      <c r="K1320" s="28"/>
    </row>
    <row r="1321" spans="1:11" s="4" customFormat="1" x14ac:dyDescent="0.25">
      <c r="A1321" s="40"/>
      <c r="B1321" s="43"/>
      <c r="C1321" s="12" t="s">
        <v>24</v>
      </c>
      <c r="D1321" s="17">
        <v>265</v>
      </c>
      <c r="E1321" s="12" t="s">
        <v>24</v>
      </c>
      <c r="F1321" s="17">
        <v>0</v>
      </c>
      <c r="G1321" s="12" t="s">
        <v>24</v>
      </c>
      <c r="H1321" s="17">
        <v>0</v>
      </c>
      <c r="I1321" s="28"/>
      <c r="J1321" s="28"/>
      <c r="K1321" s="28"/>
    </row>
    <row r="1322" spans="1:11" s="4" customFormat="1" x14ac:dyDescent="0.25">
      <c r="A1322" s="41"/>
      <c r="B1322" s="44"/>
      <c r="C1322" s="12" t="s">
        <v>25</v>
      </c>
      <c r="D1322" s="17">
        <v>0</v>
      </c>
      <c r="E1322" s="12" t="s">
        <v>25</v>
      </c>
      <c r="F1322" s="17">
        <v>0</v>
      </c>
      <c r="G1322" s="12" t="s">
        <v>25</v>
      </c>
      <c r="H1322" s="17">
        <v>0</v>
      </c>
      <c r="I1322" s="29"/>
      <c r="J1322" s="28"/>
      <c r="K1322" s="29"/>
    </row>
    <row r="1323" spans="1:11" s="4" customFormat="1" x14ac:dyDescent="0.25">
      <c r="A1323" s="39" t="s">
        <v>444</v>
      </c>
      <c r="B1323" s="42" t="s">
        <v>445</v>
      </c>
      <c r="C1323" s="9" t="s">
        <v>28</v>
      </c>
      <c r="D1323" s="17">
        <f>D1325+D1326+D1327+D1328</f>
        <v>250</v>
      </c>
      <c r="E1323" s="9" t="s">
        <v>28</v>
      </c>
      <c r="F1323" s="17">
        <f>F1325+F1326+F1327+F1328</f>
        <v>0</v>
      </c>
      <c r="G1323" s="9" t="s">
        <v>28</v>
      </c>
      <c r="H1323" s="17">
        <f>H1325+H1326+H1327+H1328</f>
        <v>0</v>
      </c>
      <c r="I1323" s="27" t="s">
        <v>248</v>
      </c>
      <c r="J1323" s="28"/>
      <c r="K1323" s="27" t="s">
        <v>214</v>
      </c>
    </row>
    <row r="1324" spans="1:11" s="4" customFormat="1" x14ac:dyDescent="0.25">
      <c r="A1324" s="40"/>
      <c r="B1324" s="43"/>
      <c r="C1324" s="9" t="s">
        <v>21</v>
      </c>
      <c r="D1324" s="17"/>
      <c r="E1324" s="9" t="s">
        <v>21</v>
      </c>
      <c r="F1324" s="17"/>
      <c r="G1324" s="9" t="s">
        <v>21</v>
      </c>
      <c r="H1324" s="17"/>
      <c r="I1324" s="28"/>
      <c r="J1324" s="28"/>
      <c r="K1324" s="28"/>
    </row>
    <row r="1325" spans="1:11" s="4" customFormat="1" x14ac:dyDescent="0.25">
      <c r="A1325" s="40"/>
      <c r="B1325" s="43"/>
      <c r="C1325" s="12" t="s">
        <v>22</v>
      </c>
      <c r="D1325" s="17">
        <v>0</v>
      </c>
      <c r="E1325" s="12" t="s">
        <v>22</v>
      </c>
      <c r="F1325" s="17">
        <v>0</v>
      </c>
      <c r="G1325" s="12" t="s">
        <v>22</v>
      </c>
      <c r="H1325" s="17">
        <v>0</v>
      </c>
      <c r="I1325" s="28"/>
      <c r="J1325" s="28"/>
      <c r="K1325" s="28"/>
    </row>
    <row r="1326" spans="1:11" s="4" customFormat="1" x14ac:dyDescent="0.25">
      <c r="A1326" s="40"/>
      <c r="B1326" s="43"/>
      <c r="C1326" s="12" t="s">
        <v>23</v>
      </c>
      <c r="D1326" s="17">
        <v>0</v>
      </c>
      <c r="E1326" s="12" t="s">
        <v>23</v>
      </c>
      <c r="F1326" s="17">
        <v>0</v>
      </c>
      <c r="G1326" s="12" t="s">
        <v>23</v>
      </c>
      <c r="H1326" s="17">
        <v>0</v>
      </c>
      <c r="I1326" s="28"/>
      <c r="J1326" s="28"/>
      <c r="K1326" s="28"/>
    </row>
    <row r="1327" spans="1:11" s="4" customFormat="1" x14ac:dyDescent="0.25">
      <c r="A1327" s="40"/>
      <c r="B1327" s="43"/>
      <c r="C1327" s="12" t="s">
        <v>24</v>
      </c>
      <c r="D1327" s="17">
        <v>250</v>
      </c>
      <c r="E1327" s="12" t="s">
        <v>24</v>
      </c>
      <c r="F1327" s="17">
        <v>0</v>
      </c>
      <c r="G1327" s="12" t="s">
        <v>24</v>
      </c>
      <c r="H1327" s="17">
        <v>0</v>
      </c>
      <c r="I1327" s="28"/>
      <c r="J1327" s="28"/>
      <c r="K1327" s="28"/>
    </row>
    <row r="1328" spans="1:11" s="4" customFormat="1" x14ac:dyDescent="0.25">
      <c r="A1328" s="41"/>
      <c r="B1328" s="44"/>
      <c r="C1328" s="12" t="s">
        <v>25</v>
      </c>
      <c r="D1328" s="17">
        <v>0</v>
      </c>
      <c r="E1328" s="12" t="s">
        <v>25</v>
      </c>
      <c r="F1328" s="17">
        <v>0</v>
      </c>
      <c r="G1328" s="12" t="s">
        <v>25</v>
      </c>
      <c r="H1328" s="17">
        <v>0</v>
      </c>
      <c r="I1328" s="29"/>
      <c r="J1328" s="28"/>
      <c r="K1328" s="29"/>
    </row>
    <row r="1329" spans="1:11" s="4" customFormat="1" x14ac:dyDescent="0.25">
      <c r="A1329" s="39" t="s">
        <v>446</v>
      </c>
      <c r="B1329" s="42" t="s">
        <v>447</v>
      </c>
      <c r="C1329" s="9" t="s">
        <v>28</v>
      </c>
      <c r="D1329" s="17">
        <f>D1331+D1332+D1333+D1334</f>
        <v>140</v>
      </c>
      <c r="E1329" s="9" t="s">
        <v>28</v>
      </c>
      <c r="F1329" s="17">
        <f>F1331+F1332+F1333+F1334</f>
        <v>0</v>
      </c>
      <c r="G1329" s="9" t="s">
        <v>28</v>
      </c>
      <c r="H1329" s="17">
        <f>H1331+H1332+H1333+H1334</f>
        <v>0</v>
      </c>
      <c r="I1329" s="27" t="s">
        <v>248</v>
      </c>
      <c r="J1329" s="28"/>
      <c r="K1329" s="27" t="s">
        <v>214</v>
      </c>
    </row>
    <row r="1330" spans="1:11" s="4" customFormat="1" x14ac:dyDescent="0.25">
      <c r="A1330" s="40"/>
      <c r="B1330" s="43"/>
      <c r="C1330" s="9" t="s">
        <v>21</v>
      </c>
      <c r="D1330" s="17"/>
      <c r="E1330" s="9" t="s">
        <v>21</v>
      </c>
      <c r="F1330" s="17"/>
      <c r="G1330" s="9" t="s">
        <v>21</v>
      </c>
      <c r="H1330" s="17"/>
      <c r="I1330" s="28"/>
      <c r="J1330" s="28"/>
      <c r="K1330" s="28"/>
    </row>
    <row r="1331" spans="1:11" s="4" customFormat="1" x14ac:dyDescent="0.25">
      <c r="A1331" s="40"/>
      <c r="B1331" s="43"/>
      <c r="C1331" s="12" t="s">
        <v>22</v>
      </c>
      <c r="D1331" s="17">
        <v>0</v>
      </c>
      <c r="E1331" s="12" t="s">
        <v>22</v>
      </c>
      <c r="F1331" s="17">
        <v>0</v>
      </c>
      <c r="G1331" s="12" t="s">
        <v>22</v>
      </c>
      <c r="H1331" s="17">
        <v>0</v>
      </c>
      <c r="I1331" s="28"/>
      <c r="J1331" s="28"/>
      <c r="K1331" s="28"/>
    </row>
    <row r="1332" spans="1:11" s="4" customFormat="1" x14ac:dyDescent="0.25">
      <c r="A1332" s="40"/>
      <c r="B1332" s="43"/>
      <c r="C1332" s="12" t="s">
        <v>23</v>
      </c>
      <c r="D1332" s="17">
        <v>0</v>
      </c>
      <c r="E1332" s="12" t="s">
        <v>23</v>
      </c>
      <c r="F1332" s="17">
        <v>0</v>
      </c>
      <c r="G1332" s="12" t="s">
        <v>23</v>
      </c>
      <c r="H1332" s="17">
        <v>0</v>
      </c>
      <c r="I1332" s="28"/>
      <c r="J1332" s="28"/>
      <c r="K1332" s="28"/>
    </row>
    <row r="1333" spans="1:11" s="4" customFormat="1" x14ac:dyDescent="0.25">
      <c r="A1333" s="40"/>
      <c r="B1333" s="43"/>
      <c r="C1333" s="12" t="s">
        <v>24</v>
      </c>
      <c r="D1333" s="17">
        <f>140000/1000</f>
        <v>140</v>
      </c>
      <c r="E1333" s="12" t="s">
        <v>24</v>
      </c>
      <c r="F1333" s="17">
        <v>0</v>
      </c>
      <c r="G1333" s="12" t="s">
        <v>24</v>
      </c>
      <c r="H1333" s="17">
        <v>0</v>
      </c>
      <c r="I1333" s="28"/>
      <c r="J1333" s="28"/>
      <c r="K1333" s="28"/>
    </row>
    <row r="1334" spans="1:11" s="4" customFormat="1" x14ac:dyDescent="0.25">
      <c r="A1334" s="41"/>
      <c r="B1334" s="44"/>
      <c r="C1334" s="12" t="s">
        <v>25</v>
      </c>
      <c r="D1334" s="17">
        <v>0</v>
      </c>
      <c r="E1334" s="12" t="s">
        <v>25</v>
      </c>
      <c r="F1334" s="17">
        <v>0</v>
      </c>
      <c r="G1334" s="12" t="s">
        <v>25</v>
      </c>
      <c r="H1334" s="17">
        <v>0</v>
      </c>
      <c r="I1334" s="29"/>
      <c r="J1334" s="28"/>
      <c r="K1334" s="29"/>
    </row>
    <row r="1335" spans="1:11" s="4" customFormat="1" x14ac:dyDescent="0.25">
      <c r="A1335" s="39" t="s">
        <v>448</v>
      </c>
      <c r="B1335" s="42" t="s">
        <v>95</v>
      </c>
      <c r="C1335" s="9" t="s">
        <v>28</v>
      </c>
      <c r="D1335" s="17">
        <f>D1337+D1338+D1339+D1340</f>
        <v>886.09230000000002</v>
      </c>
      <c r="E1335" s="9" t="s">
        <v>28</v>
      </c>
      <c r="F1335" s="17">
        <f>F1337+F1338+F1339+F1340</f>
        <v>0</v>
      </c>
      <c r="G1335" s="9" t="s">
        <v>28</v>
      </c>
      <c r="H1335" s="17">
        <f>H1337+H1338+H1339+H1340</f>
        <v>0</v>
      </c>
      <c r="I1335" s="27" t="s">
        <v>248</v>
      </c>
      <c r="J1335" s="28"/>
      <c r="K1335" s="27" t="s">
        <v>214</v>
      </c>
    </row>
    <row r="1336" spans="1:11" s="4" customFormat="1" x14ac:dyDescent="0.25">
      <c r="A1336" s="40"/>
      <c r="B1336" s="43"/>
      <c r="C1336" s="9" t="s">
        <v>21</v>
      </c>
      <c r="D1336" s="17"/>
      <c r="E1336" s="9" t="s">
        <v>21</v>
      </c>
      <c r="F1336" s="17"/>
      <c r="G1336" s="9" t="s">
        <v>21</v>
      </c>
      <c r="H1336" s="17"/>
      <c r="I1336" s="28"/>
      <c r="J1336" s="28"/>
      <c r="K1336" s="28"/>
    </row>
    <row r="1337" spans="1:11" s="4" customFormat="1" x14ac:dyDescent="0.25">
      <c r="A1337" s="40"/>
      <c r="B1337" s="43"/>
      <c r="C1337" s="12" t="s">
        <v>22</v>
      </c>
      <c r="D1337" s="17">
        <v>0</v>
      </c>
      <c r="E1337" s="12" t="s">
        <v>22</v>
      </c>
      <c r="F1337" s="17">
        <v>0</v>
      </c>
      <c r="G1337" s="12" t="s">
        <v>22</v>
      </c>
      <c r="H1337" s="17">
        <v>0</v>
      </c>
      <c r="I1337" s="28"/>
      <c r="J1337" s="28"/>
      <c r="K1337" s="28"/>
    </row>
    <row r="1338" spans="1:11" s="4" customFormat="1" x14ac:dyDescent="0.25">
      <c r="A1338" s="40"/>
      <c r="B1338" s="43"/>
      <c r="C1338" s="12" t="s">
        <v>23</v>
      </c>
      <c r="D1338" s="17">
        <v>0</v>
      </c>
      <c r="E1338" s="12" t="s">
        <v>23</v>
      </c>
      <c r="F1338" s="17">
        <v>0</v>
      </c>
      <c r="G1338" s="12" t="s">
        <v>23</v>
      </c>
      <c r="H1338" s="17">
        <v>0</v>
      </c>
      <c r="I1338" s="28"/>
      <c r="J1338" s="28"/>
      <c r="K1338" s="28"/>
    </row>
    <row r="1339" spans="1:11" s="4" customFormat="1" x14ac:dyDescent="0.25">
      <c r="A1339" s="40"/>
      <c r="B1339" s="43"/>
      <c r="C1339" s="12" t="s">
        <v>24</v>
      </c>
      <c r="D1339" s="17">
        <f>886092.3/1000</f>
        <v>886.09230000000002</v>
      </c>
      <c r="E1339" s="12" t="s">
        <v>24</v>
      </c>
      <c r="F1339" s="17">
        <v>0</v>
      </c>
      <c r="G1339" s="12" t="s">
        <v>24</v>
      </c>
      <c r="H1339" s="17">
        <v>0</v>
      </c>
      <c r="I1339" s="28"/>
      <c r="J1339" s="28"/>
      <c r="K1339" s="28"/>
    </row>
    <row r="1340" spans="1:11" s="4" customFormat="1" x14ac:dyDescent="0.25">
      <c r="A1340" s="41"/>
      <c r="B1340" s="44"/>
      <c r="C1340" s="12" t="s">
        <v>25</v>
      </c>
      <c r="D1340" s="17">
        <v>0</v>
      </c>
      <c r="E1340" s="12" t="s">
        <v>25</v>
      </c>
      <c r="F1340" s="17">
        <v>0</v>
      </c>
      <c r="G1340" s="12" t="s">
        <v>25</v>
      </c>
      <c r="H1340" s="17">
        <v>0</v>
      </c>
      <c r="I1340" s="29"/>
      <c r="J1340" s="28"/>
      <c r="K1340" s="29"/>
    </row>
    <row r="1341" spans="1:11" s="4" customFormat="1" x14ac:dyDescent="0.25">
      <c r="A1341" s="39" t="s">
        <v>449</v>
      </c>
      <c r="B1341" s="42" t="s">
        <v>450</v>
      </c>
      <c r="C1341" s="9" t="s">
        <v>28</v>
      </c>
      <c r="D1341" s="17">
        <f>D1343+D1344+D1345+D1346</f>
        <v>1772</v>
      </c>
      <c r="E1341" s="9" t="s">
        <v>28</v>
      </c>
      <c r="F1341" s="17">
        <f>F1343+F1344+F1345+F1346</f>
        <v>0</v>
      </c>
      <c r="G1341" s="9" t="s">
        <v>28</v>
      </c>
      <c r="H1341" s="17">
        <f>H1343+H1344+H1345+H1346</f>
        <v>0</v>
      </c>
      <c r="I1341" s="27" t="s">
        <v>451</v>
      </c>
      <c r="J1341" s="28"/>
      <c r="K1341" s="27" t="s">
        <v>214</v>
      </c>
    </row>
    <row r="1342" spans="1:11" s="4" customFormat="1" x14ac:dyDescent="0.25">
      <c r="A1342" s="40"/>
      <c r="B1342" s="43"/>
      <c r="C1342" s="9" t="s">
        <v>21</v>
      </c>
      <c r="D1342" s="17"/>
      <c r="E1342" s="9" t="s">
        <v>21</v>
      </c>
      <c r="F1342" s="17"/>
      <c r="G1342" s="9" t="s">
        <v>21</v>
      </c>
      <c r="H1342" s="17"/>
      <c r="I1342" s="28"/>
      <c r="J1342" s="28"/>
      <c r="K1342" s="28"/>
    </row>
    <row r="1343" spans="1:11" s="4" customFormat="1" x14ac:dyDescent="0.25">
      <c r="A1343" s="40"/>
      <c r="B1343" s="43"/>
      <c r="C1343" s="12" t="s">
        <v>22</v>
      </c>
      <c r="D1343" s="17">
        <f>D1349+D1355</f>
        <v>0</v>
      </c>
      <c r="E1343" s="12" t="s">
        <v>22</v>
      </c>
      <c r="F1343" s="17">
        <f>F1349+F1355</f>
        <v>0</v>
      </c>
      <c r="G1343" s="12" t="s">
        <v>22</v>
      </c>
      <c r="H1343" s="17">
        <f>H1349+H1355</f>
        <v>0</v>
      </c>
      <c r="I1343" s="28"/>
      <c r="J1343" s="28"/>
      <c r="K1343" s="28"/>
    </row>
    <row r="1344" spans="1:11" s="4" customFormat="1" x14ac:dyDescent="0.25">
      <c r="A1344" s="40"/>
      <c r="B1344" s="43"/>
      <c r="C1344" s="12" t="s">
        <v>23</v>
      </c>
      <c r="D1344" s="17">
        <f t="shared" ref="D1344:F1346" si="59">D1350+D1356</f>
        <v>1486.99</v>
      </c>
      <c r="E1344" s="12" t="s">
        <v>23</v>
      </c>
      <c r="F1344" s="17">
        <f t="shared" si="59"/>
        <v>0</v>
      </c>
      <c r="G1344" s="12" t="s">
        <v>23</v>
      </c>
      <c r="H1344" s="17">
        <f t="shared" ref="H1344:H1346" si="60">H1350+H1356</f>
        <v>0</v>
      </c>
      <c r="I1344" s="28"/>
      <c r="J1344" s="28"/>
      <c r="K1344" s="28"/>
    </row>
    <row r="1345" spans="1:11" s="4" customFormat="1" x14ac:dyDescent="0.25">
      <c r="A1345" s="40"/>
      <c r="B1345" s="43"/>
      <c r="C1345" s="12" t="s">
        <v>24</v>
      </c>
      <c r="D1345" s="17">
        <f t="shared" si="59"/>
        <v>285.01</v>
      </c>
      <c r="E1345" s="12" t="s">
        <v>24</v>
      </c>
      <c r="F1345" s="17">
        <f t="shared" si="59"/>
        <v>0</v>
      </c>
      <c r="G1345" s="12" t="s">
        <v>24</v>
      </c>
      <c r="H1345" s="17">
        <f t="shared" si="60"/>
        <v>0</v>
      </c>
      <c r="I1345" s="28"/>
      <c r="J1345" s="28"/>
      <c r="K1345" s="28"/>
    </row>
    <row r="1346" spans="1:11" s="4" customFormat="1" x14ac:dyDescent="0.25">
      <c r="A1346" s="40"/>
      <c r="B1346" s="44"/>
      <c r="C1346" s="12" t="s">
        <v>25</v>
      </c>
      <c r="D1346" s="17">
        <f t="shared" si="59"/>
        <v>0</v>
      </c>
      <c r="E1346" s="12" t="s">
        <v>25</v>
      </c>
      <c r="F1346" s="17">
        <f t="shared" si="59"/>
        <v>0</v>
      </c>
      <c r="G1346" s="12" t="s">
        <v>25</v>
      </c>
      <c r="H1346" s="17">
        <f t="shared" si="60"/>
        <v>0</v>
      </c>
      <c r="I1346" s="29"/>
      <c r="J1346" s="28"/>
      <c r="K1346" s="29"/>
    </row>
    <row r="1347" spans="1:11" s="4" customFormat="1" x14ac:dyDescent="0.25">
      <c r="A1347" s="39" t="s">
        <v>452</v>
      </c>
      <c r="B1347" s="42" t="s">
        <v>453</v>
      </c>
      <c r="C1347" s="9" t="s">
        <v>28</v>
      </c>
      <c r="D1347" s="17">
        <f>D1349+D1350+D1351+D1352</f>
        <v>1772</v>
      </c>
      <c r="E1347" s="9" t="s">
        <v>28</v>
      </c>
      <c r="F1347" s="17">
        <f>F1349+F1350+F1351+F1352</f>
        <v>0</v>
      </c>
      <c r="G1347" s="9" t="s">
        <v>28</v>
      </c>
      <c r="H1347" s="17">
        <f>H1349+H1350+H1351+H1352</f>
        <v>0</v>
      </c>
      <c r="I1347" s="27" t="s">
        <v>248</v>
      </c>
      <c r="J1347" s="28"/>
      <c r="K1347" s="27" t="s">
        <v>214</v>
      </c>
    </row>
    <row r="1348" spans="1:11" s="4" customFormat="1" x14ac:dyDescent="0.25">
      <c r="A1348" s="40"/>
      <c r="B1348" s="43"/>
      <c r="C1348" s="9" t="s">
        <v>21</v>
      </c>
      <c r="D1348" s="17"/>
      <c r="E1348" s="9" t="s">
        <v>21</v>
      </c>
      <c r="F1348" s="17"/>
      <c r="G1348" s="9" t="s">
        <v>21</v>
      </c>
      <c r="H1348" s="17"/>
      <c r="I1348" s="28"/>
      <c r="J1348" s="28"/>
      <c r="K1348" s="28"/>
    </row>
    <row r="1349" spans="1:11" s="4" customFormat="1" x14ac:dyDescent="0.25">
      <c r="A1349" s="40"/>
      <c r="B1349" s="43"/>
      <c r="C1349" s="12" t="s">
        <v>22</v>
      </c>
      <c r="D1349" s="17">
        <v>0</v>
      </c>
      <c r="E1349" s="12" t="s">
        <v>22</v>
      </c>
      <c r="F1349" s="17">
        <v>0</v>
      </c>
      <c r="G1349" s="12" t="s">
        <v>22</v>
      </c>
      <c r="H1349" s="17">
        <v>0</v>
      </c>
      <c r="I1349" s="28"/>
      <c r="J1349" s="28"/>
      <c r="K1349" s="28"/>
    </row>
    <row r="1350" spans="1:11" s="4" customFormat="1" x14ac:dyDescent="0.25">
      <c r="A1350" s="40"/>
      <c r="B1350" s="43"/>
      <c r="C1350" s="12" t="s">
        <v>23</v>
      </c>
      <c r="D1350" s="17">
        <v>1486.99</v>
      </c>
      <c r="E1350" s="12" t="s">
        <v>23</v>
      </c>
      <c r="F1350" s="17">
        <v>0</v>
      </c>
      <c r="G1350" s="12" t="s">
        <v>23</v>
      </c>
      <c r="H1350" s="17">
        <v>0</v>
      </c>
      <c r="I1350" s="28"/>
      <c r="J1350" s="28"/>
      <c r="K1350" s="28"/>
    </row>
    <row r="1351" spans="1:11" s="4" customFormat="1" x14ac:dyDescent="0.25">
      <c r="A1351" s="40"/>
      <c r="B1351" s="43"/>
      <c r="C1351" s="12" t="s">
        <v>24</v>
      </c>
      <c r="D1351" s="17">
        <v>285.01</v>
      </c>
      <c r="E1351" s="12" t="s">
        <v>24</v>
      </c>
      <c r="F1351" s="17">
        <v>0</v>
      </c>
      <c r="G1351" s="12" t="s">
        <v>24</v>
      </c>
      <c r="H1351" s="17">
        <v>0</v>
      </c>
      <c r="I1351" s="28"/>
      <c r="J1351" s="28"/>
      <c r="K1351" s="28"/>
    </row>
    <row r="1352" spans="1:11" s="4" customFormat="1" x14ac:dyDescent="0.25">
      <c r="A1352" s="41"/>
      <c r="B1352" s="44"/>
      <c r="C1352" s="12" t="s">
        <v>25</v>
      </c>
      <c r="D1352" s="17">
        <v>0</v>
      </c>
      <c r="E1352" s="12" t="s">
        <v>25</v>
      </c>
      <c r="F1352" s="17">
        <v>0</v>
      </c>
      <c r="G1352" s="12" t="s">
        <v>25</v>
      </c>
      <c r="H1352" s="17">
        <v>0</v>
      </c>
      <c r="I1352" s="29"/>
      <c r="J1352" s="28"/>
      <c r="K1352" s="29"/>
    </row>
    <row r="1353" spans="1:11" s="4" customFormat="1" x14ac:dyDescent="0.25">
      <c r="A1353" s="39" t="s">
        <v>454</v>
      </c>
      <c r="B1353" s="42" t="s">
        <v>95</v>
      </c>
      <c r="C1353" s="9" t="s">
        <v>28</v>
      </c>
      <c r="D1353" s="17">
        <f>D1355+D1356+D1357+D1358</f>
        <v>0</v>
      </c>
      <c r="E1353" s="9" t="s">
        <v>28</v>
      </c>
      <c r="F1353" s="17">
        <f>F1355+F1356+F1357+F1358</f>
        <v>0</v>
      </c>
      <c r="G1353" s="9" t="s">
        <v>28</v>
      </c>
      <c r="H1353" s="17">
        <f>H1355+H1356+H1357+H1358</f>
        <v>0</v>
      </c>
      <c r="I1353" s="27" t="s">
        <v>248</v>
      </c>
      <c r="J1353" s="28"/>
      <c r="K1353" s="27" t="s">
        <v>214</v>
      </c>
    </row>
    <row r="1354" spans="1:11" s="4" customFormat="1" x14ac:dyDescent="0.25">
      <c r="A1354" s="40"/>
      <c r="B1354" s="43"/>
      <c r="C1354" s="9" t="s">
        <v>21</v>
      </c>
      <c r="D1354" s="17"/>
      <c r="E1354" s="9" t="s">
        <v>21</v>
      </c>
      <c r="F1354" s="17"/>
      <c r="G1354" s="9" t="s">
        <v>21</v>
      </c>
      <c r="H1354" s="17"/>
      <c r="I1354" s="28"/>
      <c r="J1354" s="28"/>
      <c r="K1354" s="28"/>
    </row>
    <row r="1355" spans="1:11" s="4" customFormat="1" x14ac:dyDescent="0.25">
      <c r="A1355" s="40"/>
      <c r="B1355" s="43"/>
      <c r="C1355" s="12" t="s">
        <v>22</v>
      </c>
      <c r="D1355" s="17">
        <v>0</v>
      </c>
      <c r="E1355" s="12" t="s">
        <v>22</v>
      </c>
      <c r="F1355" s="17">
        <v>0</v>
      </c>
      <c r="G1355" s="12" t="s">
        <v>22</v>
      </c>
      <c r="H1355" s="17">
        <v>0</v>
      </c>
      <c r="I1355" s="28"/>
      <c r="J1355" s="28"/>
      <c r="K1355" s="28"/>
    </row>
    <row r="1356" spans="1:11" s="4" customFormat="1" x14ac:dyDescent="0.25">
      <c r="A1356" s="40"/>
      <c r="B1356" s="43"/>
      <c r="C1356" s="12" t="s">
        <v>23</v>
      </c>
      <c r="D1356" s="17">
        <v>0</v>
      </c>
      <c r="E1356" s="12" t="s">
        <v>23</v>
      </c>
      <c r="F1356" s="17">
        <v>0</v>
      </c>
      <c r="G1356" s="12" t="s">
        <v>23</v>
      </c>
      <c r="H1356" s="17">
        <v>0</v>
      </c>
      <c r="I1356" s="28"/>
      <c r="J1356" s="28"/>
      <c r="K1356" s="28"/>
    </row>
    <row r="1357" spans="1:11" s="4" customFormat="1" x14ac:dyDescent="0.25">
      <c r="A1357" s="40"/>
      <c r="B1357" s="43"/>
      <c r="C1357" s="12" t="s">
        <v>24</v>
      </c>
      <c r="D1357" s="17">
        <v>0</v>
      </c>
      <c r="E1357" s="12" t="s">
        <v>24</v>
      </c>
      <c r="F1357" s="17">
        <v>0</v>
      </c>
      <c r="G1357" s="12" t="s">
        <v>24</v>
      </c>
      <c r="H1357" s="17">
        <v>0</v>
      </c>
      <c r="I1357" s="28"/>
      <c r="J1357" s="28"/>
      <c r="K1357" s="28"/>
    </row>
    <row r="1358" spans="1:11" s="4" customFormat="1" x14ac:dyDescent="0.25">
      <c r="A1358" s="41"/>
      <c r="B1358" s="44"/>
      <c r="C1358" s="12" t="s">
        <v>25</v>
      </c>
      <c r="D1358" s="17">
        <v>0</v>
      </c>
      <c r="E1358" s="12" t="s">
        <v>25</v>
      </c>
      <c r="F1358" s="17">
        <v>0</v>
      </c>
      <c r="G1358" s="12" t="s">
        <v>25</v>
      </c>
      <c r="H1358" s="17">
        <v>0</v>
      </c>
      <c r="I1358" s="29"/>
      <c r="J1358" s="28"/>
      <c r="K1358" s="29"/>
    </row>
    <row r="1359" spans="1:11" s="4" customFormat="1" x14ac:dyDescent="0.25">
      <c r="A1359" s="39" t="s">
        <v>455</v>
      </c>
      <c r="B1359" s="42" t="s">
        <v>456</v>
      </c>
      <c r="C1359" s="9" t="s">
        <v>28</v>
      </c>
      <c r="D1359" s="17">
        <f>D1361+D1362+D1363+D1364</f>
        <v>611.81999999999994</v>
      </c>
      <c r="E1359" s="9" t="s">
        <v>28</v>
      </c>
      <c r="F1359" s="17">
        <f>F1361+F1362+F1363+F1364</f>
        <v>0</v>
      </c>
      <c r="G1359" s="9" t="s">
        <v>28</v>
      </c>
      <c r="H1359" s="17">
        <f>H1361+H1362+H1363+H1364</f>
        <v>0</v>
      </c>
      <c r="I1359" s="27" t="s">
        <v>451</v>
      </c>
      <c r="J1359" s="28"/>
      <c r="K1359" s="27" t="s">
        <v>214</v>
      </c>
    </row>
    <row r="1360" spans="1:11" s="4" customFormat="1" x14ac:dyDescent="0.25">
      <c r="A1360" s="40"/>
      <c r="B1360" s="43"/>
      <c r="C1360" s="9" t="s">
        <v>21</v>
      </c>
      <c r="D1360" s="17"/>
      <c r="E1360" s="9" t="s">
        <v>21</v>
      </c>
      <c r="F1360" s="17"/>
      <c r="G1360" s="9" t="s">
        <v>21</v>
      </c>
      <c r="H1360" s="17"/>
      <c r="I1360" s="28"/>
      <c r="J1360" s="28"/>
      <c r="K1360" s="28"/>
    </row>
    <row r="1361" spans="1:11" s="4" customFormat="1" x14ac:dyDescent="0.25">
      <c r="A1361" s="40"/>
      <c r="B1361" s="43"/>
      <c r="C1361" s="12" t="s">
        <v>22</v>
      </c>
      <c r="D1361" s="17">
        <f>D1367+D1373</f>
        <v>0</v>
      </c>
      <c r="E1361" s="12" t="s">
        <v>22</v>
      </c>
      <c r="F1361" s="17">
        <f>F1367+F1373</f>
        <v>0</v>
      </c>
      <c r="G1361" s="12" t="s">
        <v>22</v>
      </c>
      <c r="H1361" s="17">
        <f>H1367+H1373</f>
        <v>0</v>
      </c>
      <c r="I1361" s="28"/>
      <c r="J1361" s="28"/>
      <c r="K1361" s="28"/>
    </row>
    <row r="1362" spans="1:11" s="4" customFormat="1" x14ac:dyDescent="0.25">
      <c r="A1362" s="40"/>
      <c r="B1362" s="43"/>
      <c r="C1362" s="12" t="s">
        <v>23</v>
      </c>
      <c r="D1362" s="17">
        <f t="shared" ref="D1362:D1364" si="61">D1368+D1374</f>
        <v>511.19</v>
      </c>
      <c r="E1362" s="12" t="s">
        <v>23</v>
      </c>
      <c r="F1362" s="17">
        <f t="shared" ref="F1362:F1364" si="62">F1368+F1374</f>
        <v>0</v>
      </c>
      <c r="G1362" s="12" t="s">
        <v>23</v>
      </c>
      <c r="H1362" s="17">
        <f t="shared" ref="H1362:H1364" si="63">H1368+H1374</f>
        <v>0</v>
      </c>
      <c r="I1362" s="28"/>
      <c r="J1362" s="28"/>
      <c r="K1362" s="28"/>
    </row>
    <row r="1363" spans="1:11" s="4" customFormat="1" x14ac:dyDescent="0.25">
      <c r="A1363" s="40"/>
      <c r="B1363" s="43"/>
      <c r="C1363" s="12" t="s">
        <v>24</v>
      </c>
      <c r="D1363" s="17">
        <f t="shared" si="61"/>
        <v>100.63</v>
      </c>
      <c r="E1363" s="12" t="s">
        <v>24</v>
      </c>
      <c r="F1363" s="17">
        <f t="shared" si="62"/>
        <v>0</v>
      </c>
      <c r="G1363" s="12" t="s">
        <v>24</v>
      </c>
      <c r="H1363" s="17">
        <f t="shared" si="63"/>
        <v>0</v>
      </c>
      <c r="I1363" s="28"/>
      <c r="J1363" s="28"/>
      <c r="K1363" s="28"/>
    </row>
    <row r="1364" spans="1:11" s="4" customFormat="1" x14ac:dyDescent="0.25">
      <c r="A1364" s="40"/>
      <c r="B1364" s="44"/>
      <c r="C1364" s="12" t="s">
        <v>25</v>
      </c>
      <c r="D1364" s="17">
        <f t="shared" si="61"/>
        <v>0</v>
      </c>
      <c r="E1364" s="12" t="s">
        <v>25</v>
      </c>
      <c r="F1364" s="17">
        <f t="shared" si="62"/>
        <v>0</v>
      </c>
      <c r="G1364" s="12" t="s">
        <v>25</v>
      </c>
      <c r="H1364" s="17">
        <f t="shared" si="63"/>
        <v>0</v>
      </c>
      <c r="I1364" s="29"/>
      <c r="J1364" s="28"/>
      <c r="K1364" s="29"/>
    </row>
    <row r="1365" spans="1:11" s="4" customFormat="1" x14ac:dyDescent="0.25">
      <c r="A1365" s="39" t="s">
        <v>457</v>
      </c>
      <c r="B1365" s="42" t="s">
        <v>458</v>
      </c>
      <c r="C1365" s="9" t="s">
        <v>28</v>
      </c>
      <c r="D1365" s="17">
        <f>D1367+D1368+D1369+D1370</f>
        <v>611.81999999999994</v>
      </c>
      <c r="E1365" s="9" t="s">
        <v>28</v>
      </c>
      <c r="F1365" s="17">
        <f>F1367+F1368+F1369+F1370</f>
        <v>0</v>
      </c>
      <c r="G1365" s="9" t="s">
        <v>28</v>
      </c>
      <c r="H1365" s="17">
        <f>H1367+H1368+H1369+H1370</f>
        <v>0</v>
      </c>
      <c r="I1365" s="27" t="s">
        <v>248</v>
      </c>
      <c r="J1365" s="28"/>
      <c r="K1365" s="27" t="s">
        <v>214</v>
      </c>
    </row>
    <row r="1366" spans="1:11" s="4" customFormat="1" x14ac:dyDescent="0.25">
      <c r="A1366" s="40"/>
      <c r="B1366" s="43"/>
      <c r="C1366" s="9" t="s">
        <v>21</v>
      </c>
      <c r="D1366" s="17"/>
      <c r="E1366" s="9" t="s">
        <v>21</v>
      </c>
      <c r="F1366" s="17"/>
      <c r="G1366" s="9" t="s">
        <v>21</v>
      </c>
      <c r="H1366" s="17"/>
      <c r="I1366" s="28"/>
      <c r="J1366" s="28"/>
      <c r="K1366" s="28"/>
    </row>
    <row r="1367" spans="1:11" s="4" customFormat="1" x14ac:dyDescent="0.25">
      <c r="A1367" s="40"/>
      <c r="B1367" s="43"/>
      <c r="C1367" s="12" t="s">
        <v>22</v>
      </c>
      <c r="D1367" s="17">
        <v>0</v>
      </c>
      <c r="E1367" s="12" t="s">
        <v>22</v>
      </c>
      <c r="F1367" s="17">
        <v>0</v>
      </c>
      <c r="G1367" s="12" t="s">
        <v>22</v>
      </c>
      <c r="H1367" s="17">
        <v>0</v>
      </c>
      <c r="I1367" s="28"/>
      <c r="J1367" s="28"/>
      <c r="K1367" s="28"/>
    </row>
    <row r="1368" spans="1:11" s="4" customFormat="1" x14ac:dyDescent="0.25">
      <c r="A1368" s="40"/>
      <c r="B1368" s="43"/>
      <c r="C1368" s="12" t="s">
        <v>23</v>
      </c>
      <c r="D1368" s="17">
        <v>511.19</v>
      </c>
      <c r="E1368" s="12" t="s">
        <v>23</v>
      </c>
      <c r="F1368" s="17">
        <v>0</v>
      </c>
      <c r="G1368" s="12" t="s">
        <v>23</v>
      </c>
      <c r="H1368" s="17">
        <v>0</v>
      </c>
      <c r="I1368" s="28"/>
      <c r="J1368" s="28"/>
      <c r="K1368" s="28"/>
    </row>
    <row r="1369" spans="1:11" s="4" customFormat="1" x14ac:dyDescent="0.25">
      <c r="A1369" s="40"/>
      <c r="B1369" s="43"/>
      <c r="C1369" s="12" t="s">
        <v>24</v>
      </c>
      <c r="D1369" s="17">
        <v>100.63</v>
      </c>
      <c r="E1369" s="12" t="s">
        <v>24</v>
      </c>
      <c r="F1369" s="17">
        <v>0</v>
      </c>
      <c r="G1369" s="12" t="s">
        <v>24</v>
      </c>
      <c r="H1369" s="17">
        <v>0</v>
      </c>
      <c r="I1369" s="28"/>
      <c r="J1369" s="28"/>
      <c r="K1369" s="28"/>
    </row>
    <row r="1370" spans="1:11" s="4" customFormat="1" x14ac:dyDescent="0.25">
      <c r="A1370" s="41"/>
      <c r="B1370" s="44"/>
      <c r="C1370" s="12" t="s">
        <v>25</v>
      </c>
      <c r="D1370" s="17">
        <v>0</v>
      </c>
      <c r="E1370" s="12" t="s">
        <v>25</v>
      </c>
      <c r="F1370" s="17">
        <v>0</v>
      </c>
      <c r="G1370" s="12" t="s">
        <v>25</v>
      </c>
      <c r="H1370" s="17">
        <v>0</v>
      </c>
      <c r="I1370" s="29"/>
      <c r="J1370" s="28"/>
      <c r="K1370" s="29"/>
    </row>
    <row r="1371" spans="1:11" s="4" customFormat="1" x14ac:dyDescent="0.25">
      <c r="A1371" s="39" t="s">
        <v>459</v>
      </c>
      <c r="B1371" s="42" t="s">
        <v>95</v>
      </c>
      <c r="C1371" s="9" t="s">
        <v>28</v>
      </c>
      <c r="D1371" s="17">
        <f>D1373+D1374+D1375+D1376</f>
        <v>0</v>
      </c>
      <c r="E1371" s="9" t="s">
        <v>28</v>
      </c>
      <c r="F1371" s="17">
        <f>F1373+F1374+F1375+F1376</f>
        <v>0</v>
      </c>
      <c r="G1371" s="9" t="s">
        <v>28</v>
      </c>
      <c r="H1371" s="17">
        <f>H1373+H1374+H1375+H1376</f>
        <v>0</v>
      </c>
      <c r="I1371" s="27" t="s">
        <v>248</v>
      </c>
      <c r="J1371" s="28"/>
      <c r="K1371" s="27" t="s">
        <v>214</v>
      </c>
    </row>
    <row r="1372" spans="1:11" s="4" customFormat="1" x14ac:dyDescent="0.25">
      <c r="A1372" s="40"/>
      <c r="B1372" s="43"/>
      <c r="C1372" s="9" t="s">
        <v>21</v>
      </c>
      <c r="D1372" s="17"/>
      <c r="E1372" s="9" t="s">
        <v>21</v>
      </c>
      <c r="F1372" s="17"/>
      <c r="G1372" s="9" t="s">
        <v>21</v>
      </c>
      <c r="H1372" s="17"/>
      <c r="I1372" s="28"/>
      <c r="J1372" s="28"/>
      <c r="K1372" s="28"/>
    </row>
    <row r="1373" spans="1:11" s="4" customFormat="1" x14ac:dyDescent="0.25">
      <c r="A1373" s="40"/>
      <c r="B1373" s="43"/>
      <c r="C1373" s="12" t="s">
        <v>22</v>
      </c>
      <c r="D1373" s="17">
        <v>0</v>
      </c>
      <c r="E1373" s="12" t="s">
        <v>22</v>
      </c>
      <c r="F1373" s="17">
        <v>0</v>
      </c>
      <c r="G1373" s="12" t="s">
        <v>22</v>
      </c>
      <c r="H1373" s="17">
        <v>0</v>
      </c>
      <c r="I1373" s="28"/>
      <c r="J1373" s="28"/>
      <c r="K1373" s="28"/>
    </row>
    <row r="1374" spans="1:11" s="4" customFormat="1" x14ac:dyDescent="0.25">
      <c r="A1374" s="40"/>
      <c r="B1374" s="43"/>
      <c r="C1374" s="12" t="s">
        <v>23</v>
      </c>
      <c r="D1374" s="17">
        <v>0</v>
      </c>
      <c r="E1374" s="12" t="s">
        <v>23</v>
      </c>
      <c r="F1374" s="17">
        <v>0</v>
      </c>
      <c r="G1374" s="12" t="s">
        <v>23</v>
      </c>
      <c r="H1374" s="17">
        <v>0</v>
      </c>
      <c r="I1374" s="28"/>
      <c r="J1374" s="28"/>
      <c r="K1374" s="28"/>
    </row>
    <row r="1375" spans="1:11" s="4" customFormat="1" x14ac:dyDescent="0.25">
      <c r="A1375" s="40"/>
      <c r="B1375" s="43"/>
      <c r="C1375" s="12" t="s">
        <v>24</v>
      </c>
      <c r="D1375" s="17">
        <v>0</v>
      </c>
      <c r="E1375" s="12" t="s">
        <v>24</v>
      </c>
      <c r="F1375" s="17">
        <v>0</v>
      </c>
      <c r="G1375" s="12" t="s">
        <v>24</v>
      </c>
      <c r="H1375" s="17">
        <v>0</v>
      </c>
      <c r="I1375" s="28"/>
      <c r="J1375" s="28"/>
      <c r="K1375" s="28"/>
    </row>
    <row r="1376" spans="1:11" s="4" customFormat="1" x14ac:dyDescent="0.25">
      <c r="A1376" s="41"/>
      <c r="B1376" s="44"/>
      <c r="C1376" s="12" t="s">
        <v>25</v>
      </c>
      <c r="D1376" s="17">
        <v>0</v>
      </c>
      <c r="E1376" s="12" t="s">
        <v>25</v>
      </c>
      <c r="F1376" s="17">
        <v>0</v>
      </c>
      <c r="G1376" s="12" t="s">
        <v>25</v>
      </c>
      <c r="H1376" s="17">
        <v>0</v>
      </c>
      <c r="I1376" s="29"/>
      <c r="J1376" s="28"/>
      <c r="K1376" s="29"/>
    </row>
    <row r="1377" spans="1:11" s="4" customFormat="1" x14ac:dyDescent="0.25">
      <c r="A1377" s="39" t="s">
        <v>460</v>
      </c>
      <c r="B1377" s="42" t="s">
        <v>461</v>
      </c>
      <c r="C1377" s="9" t="s">
        <v>28</v>
      </c>
      <c r="D1377" s="17">
        <f>D1379+D1380+D1381+D1382</f>
        <v>1762.99</v>
      </c>
      <c r="E1377" s="9" t="s">
        <v>28</v>
      </c>
      <c r="F1377" s="17">
        <f>F1379+F1380+F1381+F1382</f>
        <v>0</v>
      </c>
      <c r="G1377" s="9" t="s">
        <v>28</v>
      </c>
      <c r="H1377" s="17">
        <f>H1379+H1380+H1381+H1382</f>
        <v>0</v>
      </c>
      <c r="I1377" s="27" t="s">
        <v>451</v>
      </c>
      <c r="J1377" s="28"/>
      <c r="K1377" s="27" t="s">
        <v>214</v>
      </c>
    </row>
    <row r="1378" spans="1:11" s="4" customFormat="1" x14ac:dyDescent="0.25">
      <c r="A1378" s="40"/>
      <c r="B1378" s="43"/>
      <c r="C1378" s="9" t="s">
        <v>21</v>
      </c>
      <c r="D1378" s="17"/>
      <c r="E1378" s="9" t="s">
        <v>21</v>
      </c>
      <c r="F1378" s="17"/>
      <c r="G1378" s="9" t="s">
        <v>21</v>
      </c>
      <c r="H1378" s="17"/>
      <c r="I1378" s="28"/>
      <c r="J1378" s="28"/>
      <c r="K1378" s="28"/>
    </row>
    <row r="1379" spans="1:11" s="4" customFormat="1" x14ac:dyDescent="0.25">
      <c r="A1379" s="40"/>
      <c r="B1379" s="43"/>
      <c r="C1379" s="12" t="s">
        <v>22</v>
      </c>
      <c r="D1379" s="17">
        <f>D1385+D1391</f>
        <v>0</v>
      </c>
      <c r="E1379" s="12" t="s">
        <v>22</v>
      </c>
      <c r="F1379" s="17">
        <f>F1385+F1391</f>
        <v>0</v>
      </c>
      <c r="G1379" s="12" t="s">
        <v>22</v>
      </c>
      <c r="H1379" s="17">
        <f>H1385+H1391</f>
        <v>0</v>
      </c>
      <c r="I1379" s="28"/>
      <c r="J1379" s="28"/>
      <c r="K1379" s="28"/>
    </row>
    <row r="1380" spans="1:11" s="4" customFormat="1" x14ac:dyDescent="0.25">
      <c r="A1380" s="40"/>
      <c r="B1380" s="43"/>
      <c r="C1380" s="12" t="s">
        <v>23</v>
      </c>
      <c r="D1380" s="17">
        <f t="shared" ref="D1380:D1382" si="64">D1386+D1392</f>
        <v>1480.83</v>
      </c>
      <c r="E1380" s="12" t="s">
        <v>23</v>
      </c>
      <c r="F1380" s="17">
        <f t="shared" ref="F1380:F1382" si="65">F1386+F1392</f>
        <v>0</v>
      </c>
      <c r="G1380" s="12" t="s">
        <v>23</v>
      </c>
      <c r="H1380" s="17">
        <f t="shared" ref="H1380:H1382" si="66">H1386+H1392</f>
        <v>0</v>
      </c>
      <c r="I1380" s="28"/>
      <c r="J1380" s="28"/>
      <c r="K1380" s="28"/>
    </row>
    <row r="1381" spans="1:11" s="4" customFormat="1" x14ac:dyDescent="0.25">
      <c r="A1381" s="40"/>
      <c r="B1381" s="43"/>
      <c r="C1381" s="12" t="s">
        <v>24</v>
      </c>
      <c r="D1381" s="17">
        <f t="shared" si="64"/>
        <v>282.16000000000003</v>
      </c>
      <c r="E1381" s="12" t="s">
        <v>24</v>
      </c>
      <c r="F1381" s="17">
        <f t="shared" si="65"/>
        <v>0</v>
      </c>
      <c r="G1381" s="12" t="s">
        <v>24</v>
      </c>
      <c r="H1381" s="17">
        <f t="shared" si="66"/>
        <v>0</v>
      </c>
      <c r="I1381" s="28"/>
      <c r="J1381" s="28"/>
      <c r="K1381" s="28"/>
    </row>
    <row r="1382" spans="1:11" s="4" customFormat="1" x14ac:dyDescent="0.25">
      <c r="A1382" s="40"/>
      <c r="B1382" s="44"/>
      <c r="C1382" s="12" t="s">
        <v>25</v>
      </c>
      <c r="D1382" s="17">
        <f t="shared" si="64"/>
        <v>0</v>
      </c>
      <c r="E1382" s="12" t="s">
        <v>25</v>
      </c>
      <c r="F1382" s="17">
        <f t="shared" si="65"/>
        <v>0</v>
      </c>
      <c r="G1382" s="12" t="s">
        <v>25</v>
      </c>
      <c r="H1382" s="17">
        <f t="shared" si="66"/>
        <v>0</v>
      </c>
      <c r="I1382" s="29"/>
      <c r="J1382" s="28"/>
      <c r="K1382" s="29"/>
    </row>
    <row r="1383" spans="1:11" s="4" customFormat="1" x14ac:dyDescent="0.25">
      <c r="A1383" s="39" t="s">
        <v>462</v>
      </c>
      <c r="B1383" s="42" t="s">
        <v>463</v>
      </c>
      <c r="C1383" s="9" t="s">
        <v>28</v>
      </c>
      <c r="D1383" s="17">
        <f>D1385+D1386+D1387+D1388</f>
        <v>1762.99</v>
      </c>
      <c r="E1383" s="9" t="s">
        <v>28</v>
      </c>
      <c r="F1383" s="17">
        <f>F1385+F1386+F1387+F1388</f>
        <v>0</v>
      </c>
      <c r="G1383" s="9" t="s">
        <v>28</v>
      </c>
      <c r="H1383" s="17">
        <f>H1385+H1386+H1387+H1388</f>
        <v>0</v>
      </c>
      <c r="I1383" s="27" t="s">
        <v>248</v>
      </c>
      <c r="J1383" s="28"/>
      <c r="K1383" s="27" t="s">
        <v>214</v>
      </c>
    </row>
    <row r="1384" spans="1:11" s="4" customFormat="1" x14ac:dyDescent="0.25">
      <c r="A1384" s="40"/>
      <c r="B1384" s="43"/>
      <c r="C1384" s="9" t="s">
        <v>21</v>
      </c>
      <c r="D1384" s="17"/>
      <c r="E1384" s="9" t="s">
        <v>21</v>
      </c>
      <c r="F1384" s="17"/>
      <c r="G1384" s="9" t="s">
        <v>21</v>
      </c>
      <c r="H1384" s="17"/>
      <c r="I1384" s="28"/>
      <c r="J1384" s="28"/>
      <c r="K1384" s="28"/>
    </row>
    <row r="1385" spans="1:11" s="4" customFormat="1" x14ac:dyDescent="0.25">
      <c r="A1385" s="40"/>
      <c r="B1385" s="43"/>
      <c r="C1385" s="12" t="s">
        <v>22</v>
      </c>
      <c r="D1385" s="17">
        <v>0</v>
      </c>
      <c r="E1385" s="12" t="s">
        <v>22</v>
      </c>
      <c r="F1385" s="17">
        <v>0</v>
      </c>
      <c r="G1385" s="12" t="s">
        <v>22</v>
      </c>
      <c r="H1385" s="17">
        <v>0</v>
      </c>
      <c r="I1385" s="28"/>
      <c r="J1385" s="28"/>
      <c r="K1385" s="28"/>
    </row>
    <row r="1386" spans="1:11" s="4" customFormat="1" x14ac:dyDescent="0.25">
      <c r="A1386" s="40"/>
      <c r="B1386" s="43"/>
      <c r="C1386" s="12" t="s">
        <v>23</v>
      </c>
      <c r="D1386" s="17">
        <v>1480.83</v>
      </c>
      <c r="E1386" s="12" t="s">
        <v>23</v>
      </c>
      <c r="F1386" s="17">
        <v>0</v>
      </c>
      <c r="G1386" s="12" t="s">
        <v>23</v>
      </c>
      <c r="H1386" s="17">
        <v>0</v>
      </c>
      <c r="I1386" s="28"/>
      <c r="J1386" s="28"/>
      <c r="K1386" s="28"/>
    </row>
    <row r="1387" spans="1:11" s="4" customFormat="1" x14ac:dyDescent="0.25">
      <c r="A1387" s="40"/>
      <c r="B1387" s="43"/>
      <c r="C1387" s="12" t="s">
        <v>24</v>
      </c>
      <c r="D1387" s="17">
        <v>282.16000000000003</v>
      </c>
      <c r="E1387" s="12" t="s">
        <v>24</v>
      </c>
      <c r="F1387" s="17">
        <v>0</v>
      </c>
      <c r="G1387" s="12" t="s">
        <v>24</v>
      </c>
      <c r="H1387" s="17">
        <v>0</v>
      </c>
      <c r="I1387" s="28"/>
      <c r="J1387" s="28"/>
      <c r="K1387" s="28"/>
    </row>
    <row r="1388" spans="1:11" s="4" customFormat="1" x14ac:dyDescent="0.25">
      <c r="A1388" s="41"/>
      <c r="B1388" s="44"/>
      <c r="C1388" s="12" t="s">
        <v>25</v>
      </c>
      <c r="D1388" s="17">
        <v>0</v>
      </c>
      <c r="E1388" s="12" t="s">
        <v>25</v>
      </c>
      <c r="F1388" s="17">
        <v>0</v>
      </c>
      <c r="G1388" s="12" t="s">
        <v>25</v>
      </c>
      <c r="H1388" s="17">
        <v>0</v>
      </c>
      <c r="I1388" s="29"/>
      <c r="J1388" s="28"/>
      <c r="K1388" s="29"/>
    </row>
    <row r="1389" spans="1:11" s="4" customFormat="1" x14ac:dyDescent="0.25">
      <c r="A1389" s="39" t="s">
        <v>464</v>
      </c>
      <c r="B1389" s="42" t="s">
        <v>95</v>
      </c>
      <c r="C1389" s="9" t="s">
        <v>28</v>
      </c>
      <c r="D1389" s="17">
        <f>D1391+D1392+D1393+D1394</f>
        <v>0</v>
      </c>
      <c r="E1389" s="9" t="s">
        <v>28</v>
      </c>
      <c r="F1389" s="17">
        <f>F1391+F1392+F1393+F1394</f>
        <v>0</v>
      </c>
      <c r="G1389" s="9" t="s">
        <v>28</v>
      </c>
      <c r="H1389" s="17">
        <f>H1391+H1392+H1393+H1394</f>
        <v>0</v>
      </c>
      <c r="I1389" s="27" t="s">
        <v>248</v>
      </c>
      <c r="J1389" s="28"/>
      <c r="K1389" s="27" t="s">
        <v>214</v>
      </c>
    </row>
    <row r="1390" spans="1:11" s="4" customFormat="1" x14ac:dyDescent="0.25">
      <c r="A1390" s="40"/>
      <c r="B1390" s="43"/>
      <c r="C1390" s="9" t="s">
        <v>21</v>
      </c>
      <c r="D1390" s="17"/>
      <c r="E1390" s="9" t="s">
        <v>21</v>
      </c>
      <c r="F1390" s="17"/>
      <c r="G1390" s="9" t="s">
        <v>21</v>
      </c>
      <c r="H1390" s="17"/>
      <c r="I1390" s="28"/>
      <c r="J1390" s="28"/>
      <c r="K1390" s="28"/>
    </row>
    <row r="1391" spans="1:11" s="4" customFormat="1" x14ac:dyDescent="0.25">
      <c r="A1391" s="40"/>
      <c r="B1391" s="43"/>
      <c r="C1391" s="12" t="s">
        <v>22</v>
      </c>
      <c r="D1391" s="17">
        <v>0</v>
      </c>
      <c r="E1391" s="12" t="s">
        <v>22</v>
      </c>
      <c r="F1391" s="17">
        <v>0</v>
      </c>
      <c r="G1391" s="12" t="s">
        <v>22</v>
      </c>
      <c r="H1391" s="17">
        <v>0</v>
      </c>
      <c r="I1391" s="28"/>
      <c r="J1391" s="28"/>
      <c r="K1391" s="28"/>
    </row>
    <row r="1392" spans="1:11" s="4" customFormat="1" x14ac:dyDescent="0.25">
      <c r="A1392" s="40"/>
      <c r="B1392" s="43"/>
      <c r="C1392" s="12" t="s">
        <v>23</v>
      </c>
      <c r="D1392" s="17">
        <v>0</v>
      </c>
      <c r="E1392" s="12" t="s">
        <v>23</v>
      </c>
      <c r="F1392" s="17">
        <v>0</v>
      </c>
      <c r="G1392" s="12" t="s">
        <v>23</v>
      </c>
      <c r="H1392" s="17">
        <v>0</v>
      </c>
      <c r="I1392" s="28"/>
      <c r="J1392" s="28"/>
      <c r="K1392" s="28"/>
    </row>
    <row r="1393" spans="1:11" s="4" customFormat="1" x14ac:dyDescent="0.25">
      <c r="A1393" s="40"/>
      <c r="B1393" s="43"/>
      <c r="C1393" s="12" t="s">
        <v>24</v>
      </c>
      <c r="D1393" s="17">
        <v>0</v>
      </c>
      <c r="E1393" s="12" t="s">
        <v>24</v>
      </c>
      <c r="F1393" s="17">
        <v>0</v>
      </c>
      <c r="G1393" s="12" t="s">
        <v>24</v>
      </c>
      <c r="H1393" s="17">
        <v>0</v>
      </c>
      <c r="I1393" s="28"/>
      <c r="J1393" s="28"/>
      <c r="K1393" s="28"/>
    </row>
    <row r="1394" spans="1:11" s="4" customFormat="1" x14ac:dyDescent="0.25">
      <c r="A1394" s="41"/>
      <c r="B1394" s="44"/>
      <c r="C1394" s="12" t="s">
        <v>25</v>
      </c>
      <c r="D1394" s="17">
        <v>0</v>
      </c>
      <c r="E1394" s="12" t="s">
        <v>25</v>
      </c>
      <c r="F1394" s="17">
        <v>0</v>
      </c>
      <c r="G1394" s="12" t="s">
        <v>25</v>
      </c>
      <c r="H1394" s="17">
        <v>0</v>
      </c>
      <c r="I1394" s="29"/>
      <c r="J1394" s="28"/>
      <c r="K1394" s="29"/>
    </row>
    <row r="1395" spans="1:11" s="4" customFormat="1" x14ac:dyDescent="0.25">
      <c r="A1395" s="39" t="s">
        <v>465</v>
      </c>
      <c r="B1395" s="42" t="s">
        <v>466</v>
      </c>
      <c r="C1395" s="9" t="s">
        <v>28</v>
      </c>
      <c r="D1395" s="17">
        <f>D1397+D1398+D1399+D1400</f>
        <v>3273.19</v>
      </c>
      <c r="E1395" s="9" t="s">
        <v>28</v>
      </c>
      <c r="F1395" s="17">
        <f>F1397+F1398+F1399+F1400</f>
        <v>0</v>
      </c>
      <c r="G1395" s="9" t="s">
        <v>28</v>
      </c>
      <c r="H1395" s="17">
        <f>H1397+H1398+H1399+H1400</f>
        <v>0</v>
      </c>
      <c r="I1395" s="27" t="s">
        <v>451</v>
      </c>
      <c r="J1395" s="28"/>
      <c r="K1395" s="27" t="s">
        <v>214</v>
      </c>
    </row>
    <row r="1396" spans="1:11" s="4" customFormat="1" x14ac:dyDescent="0.25">
      <c r="A1396" s="40"/>
      <c r="B1396" s="43"/>
      <c r="C1396" s="9" t="s">
        <v>21</v>
      </c>
      <c r="D1396" s="17"/>
      <c r="E1396" s="9" t="s">
        <v>21</v>
      </c>
      <c r="F1396" s="17"/>
      <c r="G1396" s="9" t="s">
        <v>21</v>
      </c>
      <c r="H1396" s="17"/>
      <c r="I1396" s="28"/>
      <c r="J1396" s="28"/>
      <c r="K1396" s="28"/>
    </row>
    <row r="1397" spans="1:11" s="4" customFormat="1" x14ac:dyDescent="0.25">
      <c r="A1397" s="40"/>
      <c r="B1397" s="43"/>
      <c r="C1397" s="12" t="s">
        <v>22</v>
      </c>
      <c r="D1397" s="17">
        <f>D1403+D1409</f>
        <v>0</v>
      </c>
      <c r="E1397" s="12" t="s">
        <v>22</v>
      </c>
      <c r="F1397" s="17">
        <f>F1403+F1409</f>
        <v>0</v>
      </c>
      <c r="G1397" s="12" t="s">
        <v>22</v>
      </c>
      <c r="H1397" s="17">
        <f>H1403+H1409</f>
        <v>0</v>
      </c>
      <c r="I1397" s="28"/>
      <c r="J1397" s="28"/>
      <c r="K1397" s="28"/>
    </row>
    <row r="1398" spans="1:11" s="4" customFormat="1" x14ac:dyDescent="0.25">
      <c r="A1398" s="40"/>
      <c r="B1398" s="43"/>
      <c r="C1398" s="12" t="s">
        <v>23</v>
      </c>
      <c r="D1398" s="17">
        <f t="shared" ref="D1398:D1400" si="67">D1404+D1410</f>
        <v>2658.38</v>
      </c>
      <c r="E1398" s="12" t="s">
        <v>23</v>
      </c>
      <c r="F1398" s="17">
        <f t="shared" ref="F1398:F1400" si="68">F1404+F1410</f>
        <v>0</v>
      </c>
      <c r="G1398" s="12" t="s">
        <v>23</v>
      </c>
      <c r="H1398" s="17">
        <f t="shared" ref="H1398:H1400" si="69">H1404+H1410</f>
        <v>0</v>
      </c>
      <c r="I1398" s="28"/>
      <c r="J1398" s="28"/>
      <c r="K1398" s="28"/>
    </row>
    <row r="1399" spans="1:11" s="4" customFormat="1" x14ac:dyDescent="0.25">
      <c r="A1399" s="40"/>
      <c r="B1399" s="43"/>
      <c r="C1399" s="12" t="s">
        <v>24</v>
      </c>
      <c r="D1399" s="17">
        <f t="shared" si="67"/>
        <v>614.80999999999995</v>
      </c>
      <c r="E1399" s="12" t="s">
        <v>24</v>
      </c>
      <c r="F1399" s="17">
        <f t="shared" si="68"/>
        <v>0</v>
      </c>
      <c r="G1399" s="12" t="s">
        <v>24</v>
      </c>
      <c r="H1399" s="17">
        <f t="shared" si="69"/>
        <v>0</v>
      </c>
      <c r="I1399" s="28"/>
      <c r="J1399" s="28"/>
      <c r="K1399" s="28"/>
    </row>
    <row r="1400" spans="1:11" s="4" customFormat="1" x14ac:dyDescent="0.25">
      <c r="A1400" s="40"/>
      <c r="B1400" s="44"/>
      <c r="C1400" s="12" t="s">
        <v>25</v>
      </c>
      <c r="D1400" s="17">
        <f t="shared" si="67"/>
        <v>0</v>
      </c>
      <c r="E1400" s="12" t="s">
        <v>25</v>
      </c>
      <c r="F1400" s="17">
        <f t="shared" si="68"/>
        <v>0</v>
      </c>
      <c r="G1400" s="12" t="s">
        <v>25</v>
      </c>
      <c r="H1400" s="17">
        <f t="shared" si="69"/>
        <v>0</v>
      </c>
      <c r="I1400" s="29"/>
      <c r="J1400" s="28"/>
      <c r="K1400" s="29"/>
    </row>
    <row r="1401" spans="1:11" s="4" customFormat="1" x14ac:dyDescent="0.25">
      <c r="A1401" s="39" t="s">
        <v>467</v>
      </c>
      <c r="B1401" s="42" t="s">
        <v>468</v>
      </c>
      <c r="C1401" s="9" t="s">
        <v>28</v>
      </c>
      <c r="D1401" s="17">
        <f>D1403+D1404+D1405+D1406</f>
        <v>3273.19</v>
      </c>
      <c r="E1401" s="9" t="s">
        <v>28</v>
      </c>
      <c r="F1401" s="17">
        <f>F1403+F1404+F1405+F1406</f>
        <v>0</v>
      </c>
      <c r="G1401" s="9" t="s">
        <v>28</v>
      </c>
      <c r="H1401" s="17">
        <f>H1403+H1404+H1405+H1406</f>
        <v>0</v>
      </c>
      <c r="I1401" s="27" t="s">
        <v>248</v>
      </c>
      <c r="J1401" s="28"/>
      <c r="K1401" s="27" t="s">
        <v>214</v>
      </c>
    </row>
    <row r="1402" spans="1:11" s="4" customFormat="1" x14ac:dyDescent="0.25">
      <c r="A1402" s="40"/>
      <c r="B1402" s="43"/>
      <c r="C1402" s="9" t="s">
        <v>21</v>
      </c>
      <c r="D1402" s="17"/>
      <c r="E1402" s="9" t="s">
        <v>21</v>
      </c>
      <c r="F1402" s="17"/>
      <c r="G1402" s="9" t="s">
        <v>21</v>
      </c>
      <c r="H1402" s="17"/>
      <c r="I1402" s="28"/>
      <c r="J1402" s="28"/>
      <c r="K1402" s="28"/>
    </row>
    <row r="1403" spans="1:11" s="4" customFormat="1" x14ac:dyDescent="0.25">
      <c r="A1403" s="40"/>
      <c r="B1403" s="43"/>
      <c r="C1403" s="12" t="s">
        <v>22</v>
      </c>
      <c r="D1403" s="17">
        <v>0</v>
      </c>
      <c r="E1403" s="12" t="s">
        <v>22</v>
      </c>
      <c r="F1403" s="17">
        <v>0</v>
      </c>
      <c r="G1403" s="12" t="s">
        <v>22</v>
      </c>
      <c r="H1403" s="17">
        <v>0</v>
      </c>
      <c r="I1403" s="28"/>
      <c r="J1403" s="28"/>
      <c r="K1403" s="28"/>
    </row>
    <row r="1404" spans="1:11" s="4" customFormat="1" x14ac:dyDescent="0.25">
      <c r="A1404" s="40"/>
      <c r="B1404" s="43"/>
      <c r="C1404" s="12" t="s">
        <v>23</v>
      </c>
      <c r="D1404" s="17">
        <v>2658.38</v>
      </c>
      <c r="E1404" s="12" t="s">
        <v>23</v>
      </c>
      <c r="F1404" s="17">
        <v>0</v>
      </c>
      <c r="G1404" s="12" t="s">
        <v>23</v>
      </c>
      <c r="H1404" s="17">
        <v>0</v>
      </c>
      <c r="I1404" s="28"/>
      <c r="J1404" s="28"/>
      <c r="K1404" s="28"/>
    </row>
    <row r="1405" spans="1:11" s="4" customFormat="1" x14ac:dyDescent="0.25">
      <c r="A1405" s="40"/>
      <c r="B1405" s="43"/>
      <c r="C1405" s="12" t="s">
        <v>24</v>
      </c>
      <c r="D1405" s="17">
        <v>614.80999999999995</v>
      </c>
      <c r="E1405" s="12" t="s">
        <v>24</v>
      </c>
      <c r="F1405" s="17">
        <v>0</v>
      </c>
      <c r="G1405" s="12" t="s">
        <v>24</v>
      </c>
      <c r="H1405" s="17">
        <v>0</v>
      </c>
      <c r="I1405" s="28"/>
      <c r="J1405" s="28"/>
      <c r="K1405" s="28"/>
    </row>
    <row r="1406" spans="1:11" s="4" customFormat="1" x14ac:dyDescent="0.25">
      <c r="A1406" s="41"/>
      <c r="B1406" s="44"/>
      <c r="C1406" s="12" t="s">
        <v>25</v>
      </c>
      <c r="D1406" s="17">
        <v>0</v>
      </c>
      <c r="E1406" s="12" t="s">
        <v>25</v>
      </c>
      <c r="F1406" s="17">
        <v>0</v>
      </c>
      <c r="G1406" s="12" t="s">
        <v>25</v>
      </c>
      <c r="H1406" s="17">
        <v>0</v>
      </c>
      <c r="I1406" s="29"/>
      <c r="J1406" s="28"/>
      <c r="K1406" s="29"/>
    </row>
    <row r="1407" spans="1:11" s="4" customFormat="1" x14ac:dyDescent="0.25">
      <c r="A1407" s="39" t="s">
        <v>469</v>
      </c>
      <c r="B1407" s="42" t="s">
        <v>95</v>
      </c>
      <c r="C1407" s="9" t="s">
        <v>28</v>
      </c>
      <c r="D1407" s="17">
        <f>D1409+D1410+D1411+D1412</f>
        <v>0</v>
      </c>
      <c r="E1407" s="9" t="s">
        <v>28</v>
      </c>
      <c r="F1407" s="17">
        <f>F1409+F1410+F1411+F1412</f>
        <v>0</v>
      </c>
      <c r="G1407" s="9" t="s">
        <v>28</v>
      </c>
      <c r="H1407" s="17">
        <f>H1409+H1410+H1411+H1412</f>
        <v>0</v>
      </c>
      <c r="I1407" s="27" t="s">
        <v>248</v>
      </c>
      <c r="J1407" s="28"/>
      <c r="K1407" s="27" t="s">
        <v>214</v>
      </c>
    </row>
    <row r="1408" spans="1:11" s="4" customFormat="1" x14ac:dyDescent="0.25">
      <c r="A1408" s="40"/>
      <c r="B1408" s="43"/>
      <c r="C1408" s="9" t="s">
        <v>21</v>
      </c>
      <c r="D1408" s="17"/>
      <c r="E1408" s="9" t="s">
        <v>21</v>
      </c>
      <c r="F1408" s="17"/>
      <c r="G1408" s="9" t="s">
        <v>21</v>
      </c>
      <c r="H1408" s="17"/>
      <c r="I1408" s="28"/>
      <c r="J1408" s="28"/>
      <c r="K1408" s="28"/>
    </row>
    <row r="1409" spans="1:11" s="4" customFormat="1" x14ac:dyDescent="0.25">
      <c r="A1409" s="40"/>
      <c r="B1409" s="43"/>
      <c r="C1409" s="12" t="s">
        <v>22</v>
      </c>
      <c r="D1409" s="17">
        <v>0</v>
      </c>
      <c r="E1409" s="12" t="s">
        <v>22</v>
      </c>
      <c r="F1409" s="17">
        <v>0</v>
      </c>
      <c r="G1409" s="12" t="s">
        <v>22</v>
      </c>
      <c r="H1409" s="17">
        <v>0</v>
      </c>
      <c r="I1409" s="28"/>
      <c r="J1409" s="28"/>
      <c r="K1409" s="28"/>
    </row>
    <row r="1410" spans="1:11" s="4" customFormat="1" x14ac:dyDescent="0.25">
      <c r="A1410" s="40"/>
      <c r="B1410" s="43"/>
      <c r="C1410" s="12" t="s">
        <v>23</v>
      </c>
      <c r="D1410" s="17">
        <v>0</v>
      </c>
      <c r="E1410" s="12" t="s">
        <v>23</v>
      </c>
      <c r="F1410" s="17">
        <v>0</v>
      </c>
      <c r="G1410" s="12" t="s">
        <v>23</v>
      </c>
      <c r="H1410" s="17">
        <v>0</v>
      </c>
      <c r="I1410" s="28"/>
      <c r="J1410" s="28"/>
      <c r="K1410" s="28"/>
    </row>
    <row r="1411" spans="1:11" s="4" customFormat="1" x14ac:dyDescent="0.25">
      <c r="A1411" s="40"/>
      <c r="B1411" s="43"/>
      <c r="C1411" s="12" t="s">
        <v>24</v>
      </c>
      <c r="D1411" s="17">
        <v>0</v>
      </c>
      <c r="E1411" s="12" t="s">
        <v>24</v>
      </c>
      <c r="F1411" s="17">
        <v>0</v>
      </c>
      <c r="G1411" s="12" t="s">
        <v>24</v>
      </c>
      <c r="H1411" s="17">
        <v>0</v>
      </c>
      <c r="I1411" s="28"/>
      <c r="J1411" s="28"/>
      <c r="K1411" s="28"/>
    </row>
    <row r="1412" spans="1:11" s="4" customFormat="1" x14ac:dyDescent="0.25">
      <c r="A1412" s="41"/>
      <c r="B1412" s="44"/>
      <c r="C1412" s="12" t="s">
        <v>25</v>
      </c>
      <c r="D1412" s="17">
        <v>0</v>
      </c>
      <c r="E1412" s="12" t="s">
        <v>25</v>
      </c>
      <c r="F1412" s="17">
        <v>0</v>
      </c>
      <c r="G1412" s="12" t="s">
        <v>25</v>
      </c>
      <c r="H1412" s="17">
        <v>0</v>
      </c>
      <c r="I1412" s="29"/>
      <c r="J1412" s="28"/>
      <c r="K1412" s="29"/>
    </row>
    <row r="1413" spans="1:11" s="4" customFormat="1" x14ac:dyDescent="0.25">
      <c r="A1413" s="39" t="s">
        <v>470</v>
      </c>
      <c r="B1413" s="42" t="s">
        <v>471</v>
      </c>
      <c r="C1413" s="9" t="s">
        <v>28</v>
      </c>
      <c r="D1413" s="17">
        <f>D1415+D1416+D1417+D1418</f>
        <v>2556.29</v>
      </c>
      <c r="E1413" s="9" t="s">
        <v>28</v>
      </c>
      <c r="F1413" s="17">
        <f>F1415+F1416+F1417+F1418</f>
        <v>0</v>
      </c>
      <c r="G1413" s="9" t="s">
        <v>28</v>
      </c>
      <c r="H1413" s="17">
        <f>H1415+H1416+H1417+H1418</f>
        <v>0</v>
      </c>
      <c r="I1413" s="27" t="s">
        <v>451</v>
      </c>
      <c r="J1413" s="28"/>
      <c r="K1413" s="27" t="s">
        <v>214</v>
      </c>
    </row>
    <row r="1414" spans="1:11" s="4" customFormat="1" x14ac:dyDescent="0.25">
      <c r="A1414" s="40"/>
      <c r="B1414" s="43"/>
      <c r="C1414" s="9" t="s">
        <v>21</v>
      </c>
      <c r="D1414" s="17"/>
      <c r="E1414" s="9" t="s">
        <v>21</v>
      </c>
      <c r="F1414" s="17"/>
      <c r="G1414" s="9" t="s">
        <v>21</v>
      </c>
      <c r="H1414" s="17"/>
      <c r="I1414" s="28"/>
      <c r="J1414" s="28"/>
      <c r="K1414" s="28"/>
    </row>
    <row r="1415" spans="1:11" s="4" customFormat="1" x14ac:dyDescent="0.25">
      <c r="A1415" s="40"/>
      <c r="B1415" s="43"/>
      <c r="C1415" s="12" t="s">
        <v>22</v>
      </c>
      <c r="D1415" s="17">
        <f>D1421+D1427</f>
        <v>0</v>
      </c>
      <c r="E1415" s="12" t="s">
        <v>22</v>
      </c>
      <c r="F1415" s="17">
        <f>F1421+F1427</f>
        <v>0</v>
      </c>
      <c r="G1415" s="12" t="s">
        <v>22</v>
      </c>
      <c r="H1415" s="17">
        <f>H1421+H1427</f>
        <v>0</v>
      </c>
      <c r="I1415" s="28"/>
      <c r="J1415" s="28"/>
      <c r="K1415" s="28"/>
    </row>
    <row r="1416" spans="1:11" s="4" customFormat="1" x14ac:dyDescent="0.25">
      <c r="A1416" s="40"/>
      <c r="B1416" s="43"/>
      <c r="C1416" s="12" t="s">
        <v>23</v>
      </c>
      <c r="D1416" s="17">
        <f t="shared" ref="D1416:D1418" si="70">D1422+D1428</f>
        <v>2117.0300000000002</v>
      </c>
      <c r="E1416" s="12" t="s">
        <v>23</v>
      </c>
      <c r="F1416" s="17">
        <f t="shared" ref="F1416:F1418" si="71">F1422+F1428</f>
        <v>0</v>
      </c>
      <c r="G1416" s="12" t="s">
        <v>23</v>
      </c>
      <c r="H1416" s="17">
        <f t="shared" ref="H1416:H1418" si="72">H1422+H1428</f>
        <v>0</v>
      </c>
      <c r="I1416" s="28"/>
      <c r="J1416" s="28"/>
      <c r="K1416" s="28"/>
    </row>
    <row r="1417" spans="1:11" s="4" customFormat="1" x14ac:dyDescent="0.25">
      <c r="A1417" s="40"/>
      <c r="B1417" s="43"/>
      <c r="C1417" s="12" t="s">
        <v>24</v>
      </c>
      <c r="D1417" s="17">
        <f t="shared" si="70"/>
        <v>439.26</v>
      </c>
      <c r="E1417" s="12" t="s">
        <v>24</v>
      </c>
      <c r="F1417" s="17">
        <f t="shared" si="71"/>
        <v>0</v>
      </c>
      <c r="G1417" s="12" t="s">
        <v>24</v>
      </c>
      <c r="H1417" s="17">
        <f t="shared" si="72"/>
        <v>0</v>
      </c>
      <c r="I1417" s="28"/>
      <c r="J1417" s="28"/>
      <c r="K1417" s="28"/>
    </row>
    <row r="1418" spans="1:11" s="4" customFormat="1" x14ac:dyDescent="0.25">
      <c r="A1418" s="40"/>
      <c r="B1418" s="44"/>
      <c r="C1418" s="12" t="s">
        <v>25</v>
      </c>
      <c r="D1418" s="17">
        <f t="shared" si="70"/>
        <v>0</v>
      </c>
      <c r="E1418" s="12" t="s">
        <v>25</v>
      </c>
      <c r="F1418" s="17">
        <f t="shared" si="71"/>
        <v>0</v>
      </c>
      <c r="G1418" s="12" t="s">
        <v>25</v>
      </c>
      <c r="H1418" s="17">
        <f t="shared" si="72"/>
        <v>0</v>
      </c>
      <c r="I1418" s="29"/>
      <c r="J1418" s="28"/>
      <c r="K1418" s="29"/>
    </row>
    <row r="1419" spans="1:11" s="4" customFormat="1" x14ac:dyDescent="0.25">
      <c r="A1419" s="39" t="s">
        <v>472</v>
      </c>
      <c r="B1419" s="42" t="s">
        <v>473</v>
      </c>
      <c r="C1419" s="9" t="s">
        <v>28</v>
      </c>
      <c r="D1419" s="17">
        <f>D1421+D1422+D1423+D1424</f>
        <v>2556.29</v>
      </c>
      <c r="E1419" s="9" t="s">
        <v>28</v>
      </c>
      <c r="F1419" s="17">
        <f>F1421+F1422+F1423+F1424</f>
        <v>0</v>
      </c>
      <c r="G1419" s="9" t="s">
        <v>28</v>
      </c>
      <c r="H1419" s="17">
        <f>H1421+H1422+H1423+H1424</f>
        <v>0</v>
      </c>
      <c r="I1419" s="27" t="s">
        <v>248</v>
      </c>
      <c r="J1419" s="28"/>
      <c r="K1419" s="27" t="s">
        <v>214</v>
      </c>
    </row>
    <row r="1420" spans="1:11" s="4" customFormat="1" x14ac:dyDescent="0.25">
      <c r="A1420" s="40"/>
      <c r="B1420" s="43"/>
      <c r="C1420" s="9" t="s">
        <v>21</v>
      </c>
      <c r="D1420" s="17"/>
      <c r="E1420" s="9" t="s">
        <v>21</v>
      </c>
      <c r="F1420" s="17"/>
      <c r="G1420" s="9" t="s">
        <v>21</v>
      </c>
      <c r="H1420" s="17"/>
      <c r="I1420" s="28"/>
      <c r="J1420" s="28"/>
      <c r="K1420" s="28"/>
    </row>
    <row r="1421" spans="1:11" s="4" customFormat="1" x14ac:dyDescent="0.25">
      <c r="A1421" s="40"/>
      <c r="B1421" s="43"/>
      <c r="C1421" s="12" t="s">
        <v>22</v>
      </c>
      <c r="D1421" s="17">
        <v>0</v>
      </c>
      <c r="E1421" s="12" t="s">
        <v>22</v>
      </c>
      <c r="F1421" s="17">
        <v>0</v>
      </c>
      <c r="G1421" s="12" t="s">
        <v>22</v>
      </c>
      <c r="H1421" s="17">
        <v>0</v>
      </c>
      <c r="I1421" s="28"/>
      <c r="J1421" s="28"/>
      <c r="K1421" s="28"/>
    </row>
    <row r="1422" spans="1:11" s="4" customFormat="1" x14ac:dyDescent="0.25">
      <c r="A1422" s="40"/>
      <c r="B1422" s="43"/>
      <c r="C1422" s="12" t="s">
        <v>23</v>
      </c>
      <c r="D1422" s="17">
        <v>2117.0300000000002</v>
      </c>
      <c r="E1422" s="12" t="s">
        <v>23</v>
      </c>
      <c r="F1422" s="17">
        <v>0</v>
      </c>
      <c r="G1422" s="12" t="s">
        <v>23</v>
      </c>
      <c r="H1422" s="17">
        <v>0</v>
      </c>
      <c r="I1422" s="28"/>
      <c r="J1422" s="28"/>
      <c r="K1422" s="28"/>
    </row>
    <row r="1423" spans="1:11" s="4" customFormat="1" x14ac:dyDescent="0.25">
      <c r="A1423" s="40"/>
      <c r="B1423" s="43"/>
      <c r="C1423" s="12" t="s">
        <v>24</v>
      </c>
      <c r="D1423" s="17">
        <v>439.26</v>
      </c>
      <c r="E1423" s="12" t="s">
        <v>24</v>
      </c>
      <c r="F1423" s="17">
        <v>0</v>
      </c>
      <c r="G1423" s="12" t="s">
        <v>24</v>
      </c>
      <c r="H1423" s="17">
        <v>0</v>
      </c>
      <c r="I1423" s="28"/>
      <c r="J1423" s="28"/>
      <c r="K1423" s="28"/>
    </row>
    <row r="1424" spans="1:11" s="4" customFormat="1" x14ac:dyDescent="0.25">
      <c r="A1424" s="41"/>
      <c r="B1424" s="44"/>
      <c r="C1424" s="12" t="s">
        <v>25</v>
      </c>
      <c r="D1424" s="17">
        <v>0</v>
      </c>
      <c r="E1424" s="12" t="s">
        <v>25</v>
      </c>
      <c r="F1424" s="17">
        <v>0</v>
      </c>
      <c r="G1424" s="12" t="s">
        <v>25</v>
      </c>
      <c r="H1424" s="17">
        <v>0</v>
      </c>
      <c r="I1424" s="29"/>
      <c r="J1424" s="28"/>
      <c r="K1424" s="29"/>
    </row>
    <row r="1425" spans="1:11" s="4" customFormat="1" x14ac:dyDescent="0.25">
      <c r="A1425" s="39" t="s">
        <v>474</v>
      </c>
      <c r="B1425" s="42" t="s">
        <v>95</v>
      </c>
      <c r="C1425" s="9" t="s">
        <v>28</v>
      </c>
      <c r="D1425" s="17">
        <f>D1427+D1428+D1429+D1430</f>
        <v>0</v>
      </c>
      <c r="E1425" s="9" t="s">
        <v>28</v>
      </c>
      <c r="F1425" s="17">
        <f>F1427+F1428+F1429+F1430</f>
        <v>0</v>
      </c>
      <c r="G1425" s="9" t="s">
        <v>28</v>
      </c>
      <c r="H1425" s="17">
        <f>H1427+H1428+H1429+H1430</f>
        <v>0</v>
      </c>
      <c r="I1425" s="27" t="s">
        <v>248</v>
      </c>
      <c r="J1425" s="28"/>
      <c r="K1425" s="27" t="s">
        <v>214</v>
      </c>
    </row>
    <row r="1426" spans="1:11" s="4" customFormat="1" x14ac:dyDescent="0.25">
      <c r="A1426" s="40"/>
      <c r="B1426" s="43"/>
      <c r="C1426" s="9" t="s">
        <v>21</v>
      </c>
      <c r="D1426" s="17"/>
      <c r="E1426" s="9" t="s">
        <v>21</v>
      </c>
      <c r="F1426" s="17"/>
      <c r="G1426" s="9" t="s">
        <v>21</v>
      </c>
      <c r="H1426" s="17"/>
      <c r="I1426" s="28"/>
      <c r="J1426" s="28"/>
      <c r="K1426" s="28"/>
    </row>
    <row r="1427" spans="1:11" s="4" customFormat="1" x14ac:dyDescent="0.25">
      <c r="A1427" s="40"/>
      <c r="B1427" s="43"/>
      <c r="C1427" s="12" t="s">
        <v>22</v>
      </c>
      <c r="D1427" s="17">
        <v>0</v>
      </c>
      <c r="E1427" s="12" t="s">
        <v>22</v>
      </c>
      <c r="F1427" s="17">
        <v>0</v>
      </c>
      <c r="G1427" s="12" t="s">
        <v>22</v>
      </c>
      <c r="H1427" s="17">
        <v>0</v>
      </c>
      <c r="I1427" s="28"/>
      <c r="J1427" s="28"/>
      <c r="K1427" s="28"/>
    </row>
    <row r="1428" spans="1:11" s="4" customFormat="1" x14ac:dyDescent="0.25">
      <c r="A1428" s="40"/>
      <c r="B1428" s="43"/>
      <c r="C1428" s="12" t="s">
        <v>23</v>
      </c>
      <c r="D1428" s="17">
        <v>0</v>
      </c>
      <c r="E1428" s="12" t="s">
        <v>23</v>
      </c>
      <c r="F1428" s="17">
        <v>0</v>
      </c>
      <c r="G1428" s="12" t="s">
        <v>23</v>
      </c>
      <c r="H1428" s="17">
        <v>0</v>
      </c>
      <c r="I1428" s="28"/>
      <c r="J1428" s="28"/>
      <c r="K1428" s="28"/>
    </row>
    <row r="1429" spans="1:11" s="4" customFormat="1" x14ac:dyDescent="0.25">
      <c r="A1429" s="40"/>
      <c r="B1429" s="43"/>
      <c r="C1429" s="12" t="s">
        <v>24</v>
      </c>
      <c r="D1429" s="17">
        <v>0</v>
      </c>
      <c r="E1429" s="12" t="s">
        <v>24</v>
      </c>
      <c r="F1429" s="17">
        <v>0</v>
      </c>
      <c r="G1429" s="12" t="s">
        <v>24</v>
      </c>
      <c r="H1429" s="17">
        <v>0</v>
      </c>
      <c r="I1429" s="28"/>
      <c r="J1429" s="28"/>
      <c r="K1429" s="28"/>
    </row>
    <row r="1430" spans="1:11" s="4" customFormat="1" x14ac:dyDescent="0.25">
      <c r="A1430" s="41"/>
      <c r="B1430" s="44"/>
      <c r="C1430" s="12" t="s">
        <v>25</v>
      </c>
      <c r="D1430" s="17">
        <v>0</v>
      </c>
      <c r="E1430" s="12" t="s">
        <v>25</v>
      </c>
      <c r="F1430" s="17">
        <v>0</v>
      </c>
      <c r="G1430" s="12" t="s">
        <v>25</v>
      </c>
      <c r="H1430" s="17">
        <v>0</v>
      </c>
      <c r="I1430" s="29"/>
      <c r="J1430" s="28"/>
      <c r="K1430" s="29"/>
    </row>
    <row r="1431" spans="1:11" s="4" customFormat="1" x14ac:dyDescent="0.25">
      <c r="A1431" s="39" t="s">
        <v>475</v>
      </c>
      <c r="B1431" s="42" t="s">
        <v>476</v>
      </c>
      <c r="C1431" s="9" t="s">
        <v>28</v>
      </c>
      <c r="D1431" s="17">
        <f>D1433+D1434+D1435+D1436</f>
        <v>770</v>
      </c>
      <c r="E1431" s="9" t="s">
        <v>28</v>
      </c>
      <c r="F1431" s="17">
        <f>F1433+F1434+F1435+F1436</f>
        <v>0</v>
      </c>
      <c r="G1431" s="9" t="s">
        <v>28</v>
      </c>
      <c r="H1431" s="17">
        <f>H1433+H1434+H1435+H1436</f>
        <v>0</v>
      </c>
      <c r="I1431" s="27" t="s">
        <v>248</v>
      </c>
      <c r="J1431" s="28"/>
      <c r="K1431" s="27" t="s">
        <v>214</v>
      </c>
    </row>
    <row r="1432" spans="1:11" s="4" customFormat="1" x14ac:dyDescent="0.25">
      <c r="A1432" s="40"/>
      <c r="B1432" s="43"/>
      <c r="C1432" s="9" t="s">
        <v>21</v>
      </c>
      <c r="D1432" s="17"/>
      <c r="E1432" s="9" t="s">
        <v>21</v>
      </c>
      <c r="F1432" s="17"/>
      <c r="G1432" s="9" t="s">
        <v>21</v>
      </c>
      <c r="H1432" s="17"/>
      <c r="I1432" s="28"/>
      <c r="J1432" s="28"/>
      <c r="K1432" s="28"/>
    </row>
    <row r="1433" spans="1:11" s="4" customFormat="1" x14ac:dyDescent="0.25">
      <c r="A1433" s="40"/>
      <c r="B1433" s="43"/>
      <c r="C1433" s="12" t="s">
        <v>22</v>
      </c>
      <c r="D1433" s="17">
        <f>D1439+D1445</f>
        <v>0</v>
      </c>
      <c r="E1433" s="12" t="s">
        <v>22</v>
      </c>
      <c r="F1433" s="17">
        <f>F1439+F1445</f>
        <v>0</v>
      </c>
      <c r="G1433" s="12" t="s">
        <v>22</v>
      </c>
      <c r="H1433" s="17">
        <f>H1439+H1445</f>
        <v>0</v>
      </c>
      <c r="I1433" s="28"/>
      <c r="J1433" s="28"/>
      <c r="K1433" s="28"/>
    </row>
    <row r="1434" spans="1:11" s="4" customFormat="1" x14ac:dyDescent="0.25">
      <c r="A1434" s="40"/>
      <c r="B1434" s="43"/>
      <c r="C1434" s="12" t="s">
        <v>23</v>
      </c>
      <c r="D1434" s="17">
        <f t="shared" ref="D1434:F1436" si="73">D1440+D1446</f>
        <v>770</v>
      </c>
      <c r="E1434" s="12" t="s">
        <v>23</v>
      </c>
      <c r="F1434" s="17">
        <f t="shared" si="73"/>
        <v>0</v>
      </c>
      <c r="G1434" s="12" t="s">
        <v>23</v>
      </c>
      <c r="H1434" s="17">
        <f t="shared" ref="H1434:H1436" si="74">H1440+H1446</f>
        <v>0</v>
      </c>
      <c r="I1434" s="28"/>
      <c r="J1434" s="28"/>
      <c r="K1434" s="28"/>
    </row>
    <row r="1435" spans="1:11" s="4" customFormat="1" x14ac:dyDescent="0.25">
      <c r="A1435" s="40"/>
      <c r="B1435" s="43"/>
      <c r="C1435" s="12" t="s">
        <v>24</v>
      </c>
      <c r="D1435" s="17">
        <f t="shared" si="73"/>
        <v>0</v>
      </c>
      <c r="E1435" s="12" t="s">
        <v>24</v>
      </c>
      <c r="F1435" s="17">
        <f t="shared" si="73"/>
        <v>0</v>
      </c>
      <c r="G1435" s="12" t="s">
        <v>24</v>
      </c>
      <c r="H1435" s="17">
        <f t="shared" si="74"/>
        <v>0</v>
      </c>
      <c r="I1435" s="28"/>
      <c r="J1435" s="28"/>
      <c r="K1435" s="28"/>
    </row>
    <row r="1436" spans="1:11" s="4" customFormat="1" x14ac:dyDescent="0.25">
      <c r="A1436" s="41"/>
      <c r="B1436" s="44"/>
      <c r="C1436" s="12" t="s">
        <v>25</v>
      </c>
      <c r="D1436" s="17">
        <f t="shared" si="73"/>
        <v>0</v>
      </c>
      <c r="E1436" s="12" t="s">
        <v>25</v>
      </c>
      <c r="F1436" s="17">
        <f t="shared" si="73"/>
        <v>0</v>
      </c>
      <c r="G1436" s="12" t="s">
        <v>25</v>
      </c>
      <c r="H1436" s="17">
        <f t="shared" si="74"/>
        <v>0</v>
      </c>
      <c r="I1436" s="29"/>
      <c r="J1436" s="28"/>
      <c r="K1436" s="29"/>
    </row>
    <row r="1437" spans="1:11" s="4" customFormat="1" x14ac:dyDescent="0.25">
      <c r="A1437" s="39" t="s">
        <v>477</v>
      </c>
      <c r="B1437" s="42" t="s">
        <v>478</v>
      </c>
      <c r="C1437" s="9" t="s">
        <v>28</v>
      </c>
      <c r="D1437" s="17">
        <f>D1439+D1440+D1441+D1442</f>
        <v>770</v>
      </c>
      <c r="E1437" s="9" t="s">
        <v>28</v>
      </c>
      <c r="F1437" s="17">
        <f>F1439+F1440+F1441+F1442</f>
        <v>0</v>
      </c>
      <c r="G1437" s="9" t="s">
        <v>28</v>
      </c>
      <c r="H1437" s="17">
        <f>H1439+H1440+H1441+H1442</f>
        <v>0</v>
      </c>
      <c r="I1437" s="27" t="s">
        <v>248</v>
      </c>
      <c r="J1437" s="28"/>
      <c r="K1437" s="27" t="s">
        <v>214</v>
      </c>
    </row>
    <row r="1438" spans="1:11" s="4" customFormat="1" x14ac:dyDescent="0.25">
      <c r="A1438" s="40"/>
      <c r="B1438" s="43"/>
      <c r="C1438" s="9" t="s">
        <v>21</v>
      </c>
      <c r="D1438" s="17"/>
      <c r="E1438" s="9" t="s">
        <v>21</v>
      </c>
      <c r="F1438" s="17"/>
      <c r="G1438" s="9" t="s">
        <v>21</v>
      </c>
      <c r="H1438" s="17"/>
      <c r="I1438" s="28"/>
      <c r="J1438" s="28"/>
      <c r="K1438" s="28"/>
    </row>
    <row r="1439" spans="1:11" s="4" customFormat="1" x14ac:dyDescent="0.25">
      <c r="A1439" s="40"/>
      <c r="B1439" s="43"/>
      <c r="C1439" s="12" t="s">
        <v>22</v>
      </c>
      <c r="D1439" s="17">
        <v>0</v>
      </c>
      <c r="E1439" s="12" t="s">
        <v>22</v>
      </c>
      <c r="F1439" s="17">
        <v>0</v>
      </c>
      <c r="G1439" s="12" t="s">
        <v>22</v>
      </c>
      <c r="H1439" s="17">
        <v>0</v>
      </c>
      <c r="I1439" s="28"/>
      <c r="J1439" s="28"/>
      <c r="K1439" s="28"/>
    </row>
    <row r="1440" spans="1:11" s="4" customFormat="1" x14ac:dyDescent="0.25">
      <c r="A1440" s="40"/>
      <c r="B1440" s="43"/>
      <c r="C1440" s="12" t="s">
        <v>23</v>
      </c>
      <c r="D1440" s="17">
        <v>770</v>
      </c>
      <c r="E1440" s="12" t="s">
        <v>23</v>
      </c>
      <c r="F1440" s="17">
        <v>0</v>
      </c>
      <c r="G1440" s="12" t="s">
        <v>23</v>
      </c>
      <c r="H1440" s="17">
        <v>0</v>
      </c>
      <c r="I1440" s="28"/>
      <c r="J1440" s="28"/>
      <c r="K1440" s="28"/>
    </row>
    <row r="1441" spans="1:11" s="4" customFormat="1" x14ac:dyDescent="0.25">
      <c r="A1441" s="40"/>
      <c r="B1441" s="43"/>
      <c r="C1441" s="12" t="s">
        <v>24</v>
      </c>
      <c r="D1441" s="17">
        <v>0</v>
      </c>
      <c r="E1441" s="12" t="s">
        <v>24</v>
      </c>
      <c r="F1441" s="17">
        <v>0</v>
      </c>
      <c r="G1441" s="12" t="s">
        <v>24</v>
      </c>
      <c r="H1441" s="17">
        <v>0</v>
      </c>
      <c r="I1441" s="28"/>
      <c r="J1441" s="28"/>
      <c r="K1441" s="28"/>
    </row>
    <row r="1442" spans="1:11" s="4" customFormat="1" x14ac:dyDescent="0.25">
      <c r="A1442" s="41"/>
      <c r="B1442" s="44"/>
      <c r="C1442" s="12" t="s">
        <v>25</v>
      </c>
      <c r="D1442" s="17">
        <v>0</v>
      </c>
      <c r="E1442" s="12" t="s">
        <v>25</v>
      </c>
      <c r="F1442" s="17">
        <v>0</v>
      </c>
      <c r="G1442" s="12" t="s">
        <v>25</v>
      </c>
      <c r="H1442" s="17">
        <v>0</v>
      </c>
      <c r="I1442" s="29"/>
      <c r="J1442" s="28"/>
      <c r="K1442" s="29"/>
    </row>
    <row r="1443" spans="1:11" s="4" customFormat="1" x14ac:dyDescent="0.25">
      <c r="A1443" s="39" t="s">
        <v>479</v>
      </c>
      <c r="B1443" s="42" t="s">
        <v>95</v>
      </c>
      <c r="C1443" s="9" t="s">
        <v>28</v>
      </c>
      <c r="D1443" s="17">
        <f>D1445+D1446+D1447+D1448</f>
        <v>0</v>
      </c>
      <c r="E1443" s="9" t="s">
        <v>28</v>
      </c>
      <c r="F1443" s="17">
        <f>F1445+F1446+F1447+F1448</f>
        <v>0</v>
      </c>
      <c r="G1443" s="9" t="s">
        <v>28</v>
      </c>
      <c r="H1443" s="17">
        <f>H1445+H1446+H1447+H1448</f>
        <v>0</v>
      </c>
      <c r="I1443" s="27" t="s">
        <v>248</v>
      </c>
      <c r="J1443" s="28"/>
      <c r="K1443" s="27" t="s">
        <v>214</v>
      </c>
    </row>
    <row r="1444" spans="1:11" s="4" customFormat="1" x14ac:dyDescent="0.25">
      <c r="A1444" s="40"/>
      <c r="B1444" s="43"/>
      <c r="C1444" s="9" t="s">
        <v>21</v>
      </c>
      <c r="D1444" s="17"/>
      <c r="E1444" s="9" t="s">
        <v>21</v>
      </c>
      <c r="F1444" s="17"/>
      <c r="G1444" s="9" t="s">
        <v>21</v>
      </c>
      <c r="H1444" s="17"/>
      <c r="I1444" s="28"/>
      <c r="J1444" s="28"/>
      <c r="K1444" s="28"/>
    </row>
    <row r="1445" spans="1:11" s="4" customFormat="1" x14ac:dyDescent="0.25">
      <c r="A1445" s="40"/>
      <c r="B1445" s="43"/>
      <c r="C1445" s="12" t="s">
        <v>22</v>
      </c>
      <c r="D1445" s="17">
        <v>0</v>
      </c>
      <c r="E1445" s="12" t="s">
        <v>22</v>
      </c>
      <c r="F1445" s="17">
        <v>0</v>
      </c>
      <c r="G1445" s="12" t="s">
        <v>22</v>
      </c>
      <c r="H1445" s="17">
        <v>0</v>
      </c>
      <c r="I1445" s="28"/>
      <c r="J1445" s="28"/>
      <c r="K1445" s="28"/>
    </row>
    <row r="1446" spans="1:11" s="4" customFormat="1" x14ac:dyDescent="0.25">
      <c r="A1446" s="40"/>
      <c r="B1446" s="43"/>
      <c r="C1446" s="12" t="s">
        <v>23</v>
      </c>
      <c r="D1446" s="17">
        <v>0</v>
      </c>
      <c r="E1446" s="12" t="s">
        <v>23</v>
      </c>
      <c r="F1446" s="17">
        <v>0</v>
      </c>
      <c r="G1446" s="12" t="s">
        <v>23</v>
      </c>
      <c r="H1446" s="17">
        <v>0</v>
      </c>
      <c r="I1446" s="28"/>
      <c r="J1446" s="28"/>
      <c r="K1446" s="28"/>
    </row>
    <row r="1447" spans="1:11" s="4" customFormat="1" x14ac:dyDescent="0.25">
      <c r="A1447" s="40"/>
      <c r="B1447" s="43"/>
      <c r="C1447" s="12" t="s">
        <v>24</v>
      </c>
      <c r="D1447" s="17">
        <v>0</v>
      </c>
      <c r="E1447" s="12" t="s">
        <v>24</v>
      </c>
      <c r="F1447" s="17">
        <v>0</v>
      </c>
      <c r="G1447" s="12" t="s">
        <v>24</v>
      </c>
      <c r="H1447" s="17">
        <v>0</v>
      </c>
      <c r="I1447" s="28"/>
      <c r="J1447" s="28"/>
      <c r="K1447" s="28"/>
    </row>
    <row r="1448" spans="1:11" s="4" customFormat="1" x14ac:dyDescent="0.25">
      <c r="A1448" s="41"/>
      <c r="B1448" s="44"/>
      <c r="C1448" s="12" t="s">
        <v>25</v>
      </c>
      <c r="D1448" s="17">
        <v>0</v>
      </c>
      <c r="E1448" s="12" t="s">
        <v>25</v>
      </c>
      <c r="F1448" s="17">
        <v>0</v>
      </c>
      <c r="G1448" s="12" t="s">
        <v>25</v>
      </c>
      <c r="H1448" s="17">
        <v>0</v>
      </c>
      <c r="I1448" s="29"/>
      <c r="J1448" s="28"/>
      <c r="K1448" s="29"/>
    </row>
    <row r="1449" spans="1:11" s="4" customFormat="1" x14ac:dyDescent="0.25">
      <c r="A1449" s="39" t="s">
        <v>480</v>
      </c>
      <c r="B1449" s="42" t="s">
        <v>481</v>
      </c>
      <c r="C1449" s="9" t="s">
        <v>28</v>
      </c>
      <c r="D1449" s="17">
        <f>D1451+D1452+D1453+D1454</f>
        <v>636.55999999999995</v>
      </c>
      <c r="E1449" s="9" t="s">
        <v>28</v>
      </c>
      <c r="F1449" s="17">
        <f>F1451+F1452+F1453+F1454</f>
        <v>0</v>
      </c>
      <c r="G1449" s="9" t="s">
        <v>28</v>
      </c>
      <c r="H1449" s="17">
        <f>H1451+H1452+H1453+H1454</f>
        <v>0</v>
      </c>
      <c r="I1449" s="27" t="s">
        <v>248</v>
      </c>
      <c r="J1449" s="28"/>
      <c r="K1449" s="27" t="s">
        <v>214</v>
      </c>
    </row>
    <row r="1450" spans="1:11" s="4" customFormat="1" x14ac:dyDescent="0.25">
      <c r="A1450" s="40"/>
      <c r="B1450" s="43"/>
      <c r="C1450" s="9" t="s">
        <v>21</v>
      </c>
      <c r="D1450" s="17"/>
      <c r="E1450" s="9" t="s">
        <v>21</v>
      </c>
      <c r="F1450" s="17"/>
      <c r="G1450" s="9" t="s">
        <v>21</v>
      </c>
      <c r="H1450" s="17"/>
      <c r="I1450" s="28"/>
      <c r="J1450" s="28"/>
      <c r="K1450" s="28"/>
    </row>
    <row r="1451" spans="1:11" s="4" customFormat="1" x14ac:dyDescent="0.25">
      <c r="A1451" s="40"/>
      <c r="B1451" s="43"/>
      <c r="C1451" s="12" t="s">
        <v>22</v>
      </c>
      <c r="D1451" s="17">
        <f>D1457+D1463</f>
        <v>0</v>
      </c>
      <c r="E1451" s="12" t="s">
        <v>22</v>
      </c>
      <c r="F1451" s="17">
        <f>F1457+F1463</f>
        <v>0</v>
      </c>
      <c r="G1451" s="12" t="s">
        <v>22</v>
      </c>
      <c r="H1451" s="17">
        <f>H1457+H1463</f>
        <v>0</v>
      </c>
      <c r="I1451" s="28"/>
      <c r="J1451" s="28"/>
      <c r="K1451" s="28"/>
    </row>
    <row r="1452" spans="1:11" s="4" customFormat="1" x14ac:dyDescent="0.25">
      <c r="A1452" s="40"/>
      <c r="B1452" s="43"/>
      <c r="C1452" s="12" t="s">
        <v>23</v>
      </c>
      <c r="D1452" s="17">
        <f t="shared" ref="D1452:D1454" si="75">D1458+D1464</f>
        <v>508.75</v>
      </c>
      <c r="E1452" s="12" t="s">
        <v>23</v>
      </c>
      <c r="F1452" s="17">
        <f t="shared" ref="F1452:F1454" si="76">F1458+F1464</f>
        <v>0</v>
      </c>
      <c r="G1452" s="12" t="s">
        <v>23</v>
      </c>
      <c r="H1452" s="17">
        <f t="shared" ref="H1452:H1454" si="77">H1458+H1464</f>
        <v>0</v>
      </c>
      <c r="I1452" s="28"/>
      <c r="J1452" s="28"/>
      <c r="K1452" s="28"/>
    </row>
    <row r="1453" spans="1:11" s="4" customFormat="1" x14ac:dyDescent="0.25">
      <c r="A1453" s="40"/>
      <c r="B1453" s="43"/>
      <c r="C1453" s="12" t="s">
        <v>24</v>
      </c>
      <c r="D1453" s="17">
        <f t="shared" si="75"/>
        <v>127.81</v>
      </c>
      <c r="E1453" s="12" t="s">
        <v>24</v>
      </c>
      <c r="F1453" s="17">
        <f t="shared" si="76"/>
        <v>0</v>
      </c>
      <c r="G1453" s="12" t="s">
        <v>24</v>
      </c>
      <c r="H1453" s="17">
        <f t="shared" si="77"/>
        <v>0</v>
      </c>
      <c r="I1453" s="28"/>
      <c r="J1453" s="28"/>
      <c r="K1453" s="28"/>
    </row>
    <row r="1454" spans="1:11" s="4" customFormat="1" x14ac:dyDescent="0.25">
      <c r="A1454" s="41"/>
      <c r="B1454" s="44"/>
      <c r="C1454" s="12" t="s">
        <v>25</v>
      </c>
      <c r="D1454" s="17">
        <f t="shared" si="75"/>
        <v>0</v>
      </c>
      <c r="E1454" s="12" t="s">
        <v>25</v>
      </c>
      <c r="F1454" s="17">
        <f t="shared" si="76"/>
        <v>0</v>
      </c>
      <c r="G1454" s="12" t="s">
        <v>25</v>
      </c>
      <c r="H1454" s="17">
        <f t="shared" si="77"/>
        <v>0</v>
      </c>
      <c r="I1454" s="29"/>
      <c r="J1454" s="28"/>
      <c r="K1454" s="29"/>
    </row>
    <row r="1455" spans="1:11" s="4" customFormat="1" x14ac:dyDescent="0.25">
      <c r="A1455" s="39" t="s">
        <v>482</v>
      </c>
      <c r="B1455" s="42" t="s">
        <v>483</v>
      </c>
      <c r="C1455" s="9" t="s">
        <v>28</v>
      </c>
      <c r="D1455" s="17">
        <f>D1457+D1458+D1459+D1460</f>
        <v>636.55999999999995</v>
      </c>
      <c r="E1455" s="9" t="s">
        <v>28</v>
      </c>
      <c r="F1455" s="17">
        <f>F1457+F1458+F1459+F1460</f>
        <v>0</v>
      </c>
      <c r="G1455" s="9" t="s">
        <v>28</v>
      </c>
      <c r="H1455" s="17">
        <f>H1457+H1458+H1459+H1460</f>
        <v>0</v>
      </c>
      <c r="I1455" s="27" t="s">
        <v>248</v>
      </c>
      <c r="J1455" s="28"/>
      <c r="K1455" s="27" t="s">
        <v>214</v>
      </c>
    </row>
    <row r="1456" spans="1:11" s="4" customFormat="1" x14ac:dyDescent="0.25">
      <c r="A1456" s="40"/>
      <c r="B1456" s="43"/>
      <c r="C1456" s="9" t="s">
        <v>21</v>
      </c>
      <c r="D1456" s="17"/>
      <c r="E1456" s="9" t="s">
        <v>21</v>
      </c>
      <c r="F1456" s="17"/>
      <c r="G1456" s="9" t="s">
        <v>21</v>
      </c>
      <c r="H1456" s="17"/>
      <c r="I1456" s="28"/>
      <c r="J1456" s="28"/>
      <c r="K1456" s="28"/>
    </row>
    <row r="1457" spans="1:11" s="4" customFormat="1" x14ac:dyDescent="0.25">
      <c r="A1457" s="40"/>
      <c r="B1457" s="43"/>
      <c r="C1457" s="12" t="s">
        <v>22</v>
      </c>
      <c r="D1457" s="17">
        <v>0</v>
      </c>
      <c r="E1457" s="12" t="s">
        <v>22</v>
      </c>
      <c r="F1457" s="17">
        <v>0</v>
      </c>
      <c r="G1457" s="12" t="s">
        <v>22</v>
      </c>
      <c r="H1457" s="17">
        <v>0</v>
      </c>
      <c r="I1457" s="28"/>
      <c r="J1457" s="28"/>
      <c r="K1457" s="28"/>
    </row>
    <row r="1458" spans="1:11" s="4" customFormat="1" x14ac:dyDescent="0.25">
      <c r="A1458" s="40"/>
      <c r="B1458" s="43"/>
      <c r="C1458" s="12" t="s">
        <v>23</v>
      </c>
      <c r="D1458" s="17">
        <v>508.75</v>
      </c>
      <c r="E1458" s="12" t="s">
        <v>23</v>
      </c>
      <c r="F1458" s="17">
        <v>0</v>
      </c>
      <c r="G1458" s="12" t="s">
        <v>23</v>
      </c>
      <c r="H1458" s="17">
        <v>0</v>
      </c>
      <c r="I1458" s="28"/>
      <c r="J1458" s="28"/>
      <c r="K1458" s="28"/>
    </row>
    <row r="1459" spans="1:11" s="4" customFormat="1" x14ac:dyDescent="0.25">
      <c r="A1459" s="40"/>
      <c r="B1459" s="43"/>
      <c r="C1459" s="12" t="s">
        <v>24</v>
      </c>
      <c r="D1459" s="17">
        <v>127.81</v>
      </c>
      <c r="E1459" s="12" t="s">
        <v>24</v>
      </c>
      <c r="F1459" s="17">
        <v>0</v>
      </c>
      <c r="G1459" s="12" t="s">
        <v>24</v>
      </c>
      <c r="H1459" s="17">
        <v>0</v>
      </c>
      <c r="I1459" s="28"/>
      <c r="J1459" s="28"/>
      <c r="K1459" s="28"/>
    </row>
    <row r="1460" spans="1:11" s="4" customFormat="1" x14ac:dyDescent="0.25">
      <c r="A1460" s="41"/>
      <c r="B1460" s="44"/>
      <c r="C1460" s="12" t="s">
        <v>25</v>
      </c>
      <c r="D1460" s="17">
        <v>0</v>
      </c>
      <c r="E1460" s="12" t="s">
        <v>25</v>
      </c>
      <c r="F1460" s="17">
        <v>0</v>
      </c>
      <c r="G1460" s="12" t="s">
        <v>25</v>
      </c>
      <c r="H1460" s="17">
        <v>0</v>
      </c>
      <c r="I1460" s="29"/>
      <c r="J1460" s="28"/>
      <c r="K1460" s="29"/>
    </row>
    <row r="1461" spans="1:11" s="4" customFormat="1" x14ac:dyDescent="0.25">
      <c r="A1461" s="39" t="s">
        <v>484</v>
      </c>
      <c r="B1461" s="42" t="s">
        <v>95</v>
      </c>
      <c r="C1461" s="9" t="s">
        <v>28</v>
      </c>
      <c r="D1461" s="17">
        <f>D1463+D1464+D1465+D1466</f>
        <v>0</v>
      </c>
      <c r="E1461" s="9" t="s">
        <v>28</v>
      </c>
      <c r="F1461" s="17">
        <f>F1463+F1464+F1465+F1466</f>
        <v>0</v>
      </c>
      <c r="G1461" s="9" t="s">
        <v>28</v>
      </c>
      <c r="H1461" s="17">
        <f>H1463+H1464+H1465+H1466</f>
        <v>0</v>
      </c>
      <c r="I1461" s="27" t="s">
        <v>248</v>
      </c>
      <c r="J1461" s="28"/>
      <c r="K1461" s="27" t="s">
        <v>214</v>
      </c>
    </row>
    <row r="1462" spans="1:11" s="4" customFormat="1" x14ac:dyDescent="0.25">
      <c r="A1462" s="40"/>
      <c r="B1462" s="43"/>
      <c r="C1462" s="9" t="s">
        <v>21</v>
      </c>
      <c r="D1462" s="17"/>
      <c r="E1462" s="9" t="s">
        <v>21</v>
      </c>
      <c r="F1462" s="17"/>
      <c r="G1462" s="9" t="s">
        <v>21</v>
      </c>
      <c r="H1462" s="17"/>
      <c r="I1462" s="28"/>
      <c r="J1462" s="28"/>
      <c r="K1462" s="28"/>
    </row>
    <row r="1463" spans="1:11" s="4" customFormat="1" x14ac:dyDescent="0.25">
      <c r="A1463" s="40"/>
      <c r="B1463" s="43"/>
      <c r="C1463" s="12" t="s">
        <v>22</v>
      </c>
      <c r="D1463" s="17">
        <v>0</v>
      </c>
      <c r="E1463" s="12" t="s">
        <v>22</v>
      </c>
      <c r="F1463" s="17">
        <v>0</v>
      </c>
      <c r="G1463" s="12" t="s">
        <v>22</v>
      </c>
      <c r="H1463" s="17">
        <v>0</v>
      </c>
      <c r="I1463" s="28"/>
      <c r="J1463" s="28"/>
      <c r="K1463" s="28"/>
    </row>
    <row r="1464" spans="1:11" s="4" customFormat="1" x14ac:dyDescent="0.25">
      <c r="A1464" s="40"/>
      <c r="B1464" s="43"/>
      <c r="C1464" s="12" t="s">
        <v>23</v>
      </c>
      <c r="D1464" s="17">
        <v>0</v>
      </c>
      <c r="E1464" s="12" t="s">
        <v>23</v>
      </c>
      <c r="F1464" s="17">
        <v>0</v>
      </c>
      <c r="G1464" s="12" t="s">
        <v>23</v>
      </c>
      <c r="H1464" s="17">
        <v>0</v>
      </c>
      <c r="I1464" s="28"/>
      <c r="J1464" s="28"/>
      <c r="K1464" s="28"/>
    </row>
    <row r="1465" spans="1:11" s="4" customFormat="1" x14ac:dyDescent="0.25">
      <c r="A1465" s="40"/>
      <c r="B1465" s="43"/>
      <c r="C1465" s="12" t="s">
        <v>24</v>
      </c>
      <c r="D1465" s="17">
        <v>0</v>
      </c>
      <c r="E1465" s="12" t="s">
        <v>24</v>
      </c>
      <c r="F1465" s="17">
        <v>0</v>
      </c>
      <c r="G1465" s="12" t="s">
        <v>24</v>
      </c>
      <c r="H1465" s="17">
        <v>0</v>
      </c>
      <c r="I1465" s="28"/>
      <c r="J1465" s="28"/>
      <c r="K1465" s="28"/>
    </row>
    <row r="1466" spans="1:11" s="4" customFormat="1" x14ac:dyDescent="0.25">
      <c r="A1466" s="41"/>
      <c r="B1466" s="44"/>
      <c r="C1466" s="12" t="s">
        <v>25</v>
      </c>
      <c r="D1466" s="17">
        <v>0</v>
      </c>
      <c r="E1466" s="12" t="s">
        <v>25</v>
      </c>
      <c r="F1466" s="17">
        <v>0</v>
      </c>
      <c r="G1466" s="12" t="s">
        <v>25</v>
      </c>
      <c r="H1466" s="17">
        <v>0</v>
      </c>
      <c r="I1466" s="29"/>
      <c r="J1466" s="28"/>
      <c r="K1466" s="29"/>
    </row>
    <row r="1467" spans="1:11" s="4" customFormat="1" x14ac:dyDescent="0.25">
      <c r="A1467" s="39" t="s">
        <v>485</v>
      </c>
      <c r="B1467" s="42" t="s">
        <v>486</v>
      </c>
      <c r="C1467" s="9" t="s">
        <v>28</v>
      </c>
      <c r="D1467" s="17">
        <f>D1469+D1470+D1471+D1472</f>
        <v>0</v>
      </c>
      <c r="E1467" s="9" t="s">
        <v>28</v>
      </c>
      <c r="F1467" s="17">
        <f>F1469+F1470+F1471+F1472</f>
        <v>2209.1999999999998</v>
      </c>
      <c r="G1467" s="9" t="s">
        <v>28</v>
      </c>
      <c r="H1467" s="17">
        <f>H1469+H1470+H1471+H1472</f>
        <v>0</v>
      </c>
      <c r="I1467" s="27" t="s">
        <v>248</v>
      </c>
      <c r="J1467" s="28"/>
      <c r="K1467" s="27" t="s">
        <v>214</v>
      </c>
    </row>
    <row r="1468" spans="1:11" s="4" customFormat="1" x14ac:dyDescent="0.25">
      <c r="A1468" s="40"/>
      <c r="B1468" s="43"/>
      <c r="C1468" s="9" t="s">
        <v>21</v>
      </c>
      <c r="D1468" s="17"/>
      <c r="E1468" s="9" t="s">
        <v>21</v>
      </c>
      <c r="F1468" s="17"/>
      <c r="G1468" s="9" t="s">
        <v>21</v>
      </c>
      <c r="H1468" s="17"/>
      <c r="I1468" s="28"/>
      <c r="J1468" s="28"/>
      <c r="K1468" s="28"/>
    </row>
    <row r="1469" spans="1:11" s="4" customFormat="1" x14ac:dyDescent="0.25">
      <c r="A1469" s="40"/>
      <c r="B1469" s="43"/>
      <c r="C1469" s="12" t="s">
        <v>22</v>
      </c>
      <c r="D1469" s="17">
        <f>D1475</f>
        <v>0</v>
      </c>
      <c r="E1469" s="12" t="s">
        <v>22</v>
      </c>
      <c r="F1469" s="17">
        <f>F1475</f>
        <v>0</v>
      </c>
      <c r="G1469" s="12" t="s">
        <v>22</v>
      </c>
      <c r="H1469" s="17">
        <f>H1475</f>
        <v>0</v>
      </c>
      <c r="I1469" s="28"/>
      <c r="J1469" s="28"/>
      <c r="K1469" s="28"/>
    </row>
    <row r="1470" spans="1:11" s="4" customFormat="1" x14ac:dyDescent="0.25">
      <c r="A1470" s="40"/>
      <c r="B1470" s="43"/>
      <c r="C1470" s="12" t="s">
        <v>23</v>
      </c>
      <c r="D1470" s="17">
        <f t="shared" ref="D1470:F1472" si="78">D1476</f>
        <v>0</v>
      </c>
      <c r="E1470" s="12" t="s">
        <v>23</v>
      </c>
      <c r="F1470" s="17">
        <f t="shared" si="78"/>
        <v>0</v>
      </c>
      <c r="G1470" s="12" t="s">
        <v>23</v>
      </c>
      <c r="H1470" s="17">
        <f t="shared" ref="H1470:H1472" si="79">H1476</f>
        <v>0</v>
      </c>
      <c r="I1470" s="28"/>
      <c r="J1470" s="28"/>
      <c r="K1470" s="28"/>
    </row>
    <row r="1471" spans="1:11" s="4" customFormat="1" x14ac:dyDescent="0.25">
      <c r="A1471" s="40"/>
      <c r="B1471" s="43"/>
      <c r="C1471" s="12" t="s">
        <v>24</v>
      </c>
      <c r="D1471" s="17">
        <f t="shared" si="78"/>
        <v>0</v>
      </c>
      <c r="E1471" s="12" t="s">
        <v>24</v>
      </c>
      <c r="F1471" s="17">
        <f t="shared" si="78"/>
        <v>2209.1999999999998</v>
      </c>
      <c r="G1471" s="12" t="s">
        <v>24</v>
      </c>
      <c r="H1471" s="17">
        <f t="shared" si="79"/>
        <v>0</v>
      </c>
      <c r="I1471" s="28"/>
      <c r="J1471" s="28"/>
      <c r="K1471" s="28"/>
    </row>
    <row r="1472" spans="1:11" s="4" customFormat="1" x14ac:dyDescent="0.25">
      <c r="A1472" s="41"/>
      <c r="B1472" s="44"/>
      <c r="C1472" s="12" t="s">
        <v>25</v>
      </c>
      <c r="D1472" s="17">
        <f t="shared" si="78"/>
        <v>0</v>
      </c>
      <c r="E1472" s="12" t="s">
        <v>25</v>
      </c>
      <c r="F1472" s="17">
        <f t="shared" si="78"/>
        <v>0</v>
      </c>
      <c r="G1472" s="12" t="s">
        <v>25</v>
      </c>
      <c r="H1472" s="17">
        <f t="shared" si="79"/>
        <v>0</v>
      </c>
      <c r="I1472" s="29"/>
      <c r="J1472" s="28"/>
      <c r="K1472" s="29"/>
    </row>
    <row r="1473" spans="1:11" s="4" customFormat="1" x14ac:dyDescent="0.25">
      <c r="A1473" s="39" t="s">
        <v>487</v>
      </c>
      <c r="B1473" s="42" t="s">
        <v>95</v>
      </c>
      <c r="C1473" s="9" t="s">
        <v>28</v>
      </c>
      <c r="D1473" s="17">
        <f>D1475+D1476+D1477+D1478</f>
        <v>0</v>
      </c>
      <c r="E1473" s="9" t="s">
        <v>28</v>
      </c>
      <c r="F1473" s="17">
        <f>F1475+F1476+F1477+F1478</f>
        <v>2209.1999999999998</v>
      </c>
      <c r="G1473" s="9" t="s">
        <v>28</v>
      </c>
      <c r="H1473" s="17">
        <f>H1475+H1476+H1477+H1478</f>
        <v>0</v>
      </c>
      <c r="I1473" s="27" t="s">
        <v>248</v>
      </c>
      <c r="J1473" s="28"/>
      <c r="K1473" s="27" t="s">
        <v>214</v>
      </c>
    </row>
    <row r="1474" spans="1:11" s="4" customFormat="1" x14ac:dyDescent="0.25">
      <c r="A1474" s="40"/>
      <c r="B1474" s="43"/>
      <c r="C1474" s="9" t="s">
        <v>21</v>
      </c>
      <c r="D1474" s="17"/>
      <c r="E1474" s="9" t="s">
        <v>21</v>
      </c>
      <c r="F1474" s="17"/>
      <c r="G1474" s="9" t="s">
        <v>21</v>
      </c>
      <c r="H1474" s="17"/>
      <c r="I1474" s="28"/>
      <c r="J1474" s="28"/>
      <c r="K1474" s="28"/>
    </row>
    <row r="1475" spans="1:11" s="4" customFormat="1" x14ac:dyDescent="0.25">
      <c r="A1475" s="40"/>
      <c r="B1475" s="43"/>
      <c r="C1475" s="12" t="s">
        <v>22</v>
      </c>
      <c r="D1475" s="17">
        <v>0</v>
      </c>
      <c r="E1475" s="12" t="s">
        <v>22</v>
      </c>
      <c r="F1475" s="17">
        <v>0</v>
      </c>
      <c r="G1475" s="12" t="s">
        <v>22</v>
      </c>
      <c r="H1475" s="17">
        <v>0</v>
      </c>
      <c r="I1475" s="28"/>
      <c r="J1475" s="28"/>
      <c r="K1475" s="28"/>
    </row>
    <row r="1476" spans="1:11" s="4" customFormat="1" x14ac:dyDescent="0.25">
      <c r="A1476" s="40"/>
      <c r="B1476" s="43"/>
      <c r="C1476" s="12" t="s">
        <v>23</v>
      </c>
      <c r="D1476" s="17">
        <v>0</v>
      </c>
      <c r="E1476" s="12" t="s">
        <v>23</v>
      </c>
      <c r="F1476" s="17">
        <v>0</v>
      </c>
      <c r="G1476" s="12" t="s">
        <v>23</v>
      </c>
      <c r="H1476" s="17">
        <v>0</v>
      </c>
      <c r="I1476" s="28"/>
      <c r="J1476" s="28"/>
      <c r="K1476" s="28"/>
    </row>
    <row r="1477" spans="1:11" s="4" customFormat="1" x14ac:dyDescent="0.25">
      <c r="A1477" s="40"/>
      <c r="B1477" s="43"/>
      <c r="C1477" s="12" t="s">
        <v>24</v>
      </c>
      <c r="D1477" s="17">
        <v>0</v>
      </c>
      <c r="E1477" s="12" t="s">
        <v>24</v>
      </c>
      <c r="F1477" s="17">
        <v>2209.1999999999998</v>
      </c>
      <c r="G1477" s="12" t="s">
        <v>24</v>
      </c>
      <c r="H1477" s="17">
        <v>0</v>
      </c>
      <c r="I1477" s="28"/>
      <c r="J1477" s="28"/>
      <c r="K1477" s="28"/>
    </row>
    <row r="1478" spans="1:11" s="4" customFormat="1" x14ac:dyDescent="0.25">
      <c r="A1478" s="41"/>
      <c r="B1478" s="44"/>
      <c r="C1478" s="12" t="s">
        <v>25</v>
      </c>
      <c r="D1478" s="17">
        <v>0</v>
      </c>
      <c r="E1478" s="12" t="s">
        <v>25</v>
      </c>
      <c r="F1478" s="17">
        <v>0</v>
      </c>
      <c r="G1478" s="12" t="s">
        <v>25</v>
      </c>
      <c r="H1478" s="17">
        <v>0</v>
      </c>
      <c r="I1478" s="29"/>
      <c r="J1478" s="28"/>
      <c r="K1478" s="29"/>
    </row>
    <row r="1479" spans="1:11" s="4" customFormat="1" x14ac:dyDescent="0.25">
      <c r="A1479" s="39" t="s">
        <v>488</v>
      </c>
      <c r="B1479" s="42" t="s">
        <v>489</v>
      </c>
      <c r="C1479" s="9" t="s">
        <v>28</v>
      </c>
      <c r="D1479" s="17">
        <f>D1481+D1482+D1483+D1484</f>
        <v>0</v>
      </c>
      <c r="E1479" s="9" t="s">
        <v>28</v>
      </c>
      <c r="F1479" s="17">
        <f>F1481+F1482+F1483+F1484</f>
        <v>56076.86</v>
      </c>
      <c r="G1479" s="9" t="s">
        <v>28</v>
      </c>
      <c r="H1479" s="17">
        <f>H1481+H1482+H1483+H1484</f>
        <v>0</v>
      </c>
      <c r="I1479" s="27" t="s">
        <v>248</v>
      </c>
      <c r="J1479" s="28"/>
      <c r="K1479" s="27" t="s">
        <v>214</v>
      </c>
    </row>
    <row r="1480" spans="1:11" s="4" customFormat="1" x14ac:dyDescent="0.25">
      <c r="A1480" s="40"/>
      <c r="B1480" s="43"/>
      <c r="C1480" s="9" t="s">
        <v>21</v>
      </c>
      <c r="D1480" s="17"/>
      <c r="E1480" s="9" t="s">
        <v>21</v>
      </c>
      <c r="F1480" s="17"/>
      <c r="G1480" s="9" t="s">
        <v>21</v>
      </c>
      <c r="H1480" s="17"/>
      <c r="I1480" s="28"/>
      <c r="J1480" s="28"/>
      <c r="K1480" s="28"/>
    </row>
    <row r="1481" spans="1:11" s="4" customFormat="1" x14ac:dyDescent="0.25">
      <c r="A1481" s="40"/>
      <c r="B1481" s="43"/>
      <c r="C1481" s="12" t="s">
        <v>22</v>
      </c>
      <c r="D1481" s="17">
        <f>D1487</f>
        <v>0</v>
      </c>
      <c r="E1481" s="12" t="s">
        <v>22</v>
      </c>
      <c r="F1481" s="17">
        <f>F1487</f>
        <v>0</v>
      </c>
      <c r="G1481" s="12" t="s">
        <v>22</v>
      </c>
      <c r="H1481" s="17">
        <f>H1487</f>
        <v>0</v>
      </c>
      <c r="I1481" s="28"/>
      <c r="J1481" s="28"/>
      <c r="K1481" s="28"/>
    </row>
    <row r="1482" spans="1:11" s="4" customFormat="1" x14ac:dyDescent="0.25">
      <c r="A1482" s="40"/>
      <c r="B1482" s="43"/>
      <c r="C1482" s="12" t="s">
        <v>23</v>
      </c>
      <c r="D1482" s="17">
        <f t="shared" ref="D1482:D1484" si="80">D1488</f>
        <v>0</v>
      </c>
      <c r="E1482" s="12" t="s">
        <v>23</v>
      </c>
      <c r="F1482" s="17">
        <f t="shared" ref="F1482:F1484" si="81">F1488</f>
        <v>0</v>
      </c>
      <c r="G1482" s="12" t="s">
        <v>23</v>
      </c>
      <c r="H1482" s="17">
        <f t="shared" ref="H1482:H1484" si="82">H1488</f>
        <v>0</v>
      </c>
      <c r="I1482" s="28"/>
      <c r="J1482" s="28"/>
      <c r="K1482" s="28"/>
    </row>
    <row r="1483" spans="1:11" s="4" customFormat="1" x14ac:dyDescent="0.25">
      <c r="A1483" s="40"/>
      <c r="B1483" s="43"/>
      <c r="C1483" s="12" t="s">
        <v>24</v>
      </c>
      <c r="D1483" s="17">
        <f t="shared" si="80"/>
        <v>0</v>
      </c>
      <c r="E1483" s="12" t="s">
        <v>24</v>
      </c>
      <c r="F1483" s="17">
        <f t="shared" si="81"/>
        <v>56076.86</v>
      </c>
      <c r="G1483" s="12" t="s">
        <v>24</v>
      </c>
      <c r="H1483" s="17">
        <f t="shared" si="82"/>
        <v>0</v>
      </c>
      <c r="I1483" s="28"/>
      <c r="J1483" s="28"/>
      <c r="K1483" s="28"/>
    </row>
    <row r="1484" spans="1:11" s="4" customFormat="1" x14ac:dyDescent="0.25">
      <c r="A1484" s="41"/>
      <c r="B1484" s="44"/>
      <c r="C1484" s="12" t="s">
        <v>25</v>
      </c>
      <c r="D1484" s="17">
        <f t="shared" si="80"/>
        <v>0</v>
      </c>
      <c r="E1484" s="12" t="s">
        <v>25</v>
      </c>
      <c r="F1484" s="17">
        <f t="shared" si="81"/>
        <v>0</v>
      </c>
      <c r="G1484" s="12" t="s">
        <v>25</v>
      </c>
      <c r="H1484" s="17">
        <f t="shared" si="82"/>
        <v>0</v>
      </c>
      <c r="I1484" s="29"/>
      <c r="J1484" s="28"/>
      <c r="K1484" s="29"/>
    </row>
    <row r="1485" spans="1:11" s="4" customFormat="1" x14ac:dyDescent="0.25">
      <c r="A1485" s="39" t="s">
        <v>490</v>
      </c>
      <c r="B1485" s="42" t="s">
        <v>95</v>
      </c>
      <c r="C1485" s="9" t="s">
        <v>28</v>
      </c>
      <c r="D1485" s="17">
        <f>D1487+D1488+D1489+D1490</f>
        <v>0</v>
      </c>
      <c r="E1485" s="9" t="s">
        <v>28</v>
      </c>
      <c r="F1485" s="17">
        <f>F1487+F1488+F1489+F1490</f>
        <v>56076.86</v>
      </c>
      <c r="G1485" s="9" t="s">
        <v>28</v>
      </c>
      <c r="H1485" s="17">
        <f>H1487+H1488+H1489+H1490</f>
        <v>0</v>
      </c>
      <c r="I1485" s="27" t="s">
        <v>248</v>
      </c>
      <c r="J1485" s="28"/>
      <c r="K1485" s="27" t="s">
        <v>214</v>
      </c>
    </row>
    <row r="1486" spans="1:11" s="4" customFormat="1" x14ac:dyDescent="0.25">
      <c r="A1486" s="40"/>
      <c r="B1486" s="43"/>
      <c r="C1486" s="9" t="s">
        <v>21</v>
      </c>
      <c r="D1486" s="17"/>
      <c r="E1486" s="9" t="s">
        <v>21</v>
      </c>
      <c r="F1486" s="17"/>
      <c r="G1486" s="9" t="s">
        <v>21</v>
      </c>
      <c r="H1486" s="17"/>
      <c r="I1486" s="28"/>
      <c r="J1486" s="28"/>
      <c r="K1486" s="28"/>
    </row>
    <row r="1487" spans="1:11" s="4" customFormat="1" x14ac:dyDescent="0.25">
      <c r="A1487" s="40"/>
      <c r="B1487" s="43"/>
      <c r="C1487" s="12" t="s">
        <v>22</v>
      </c>
      <c r="D1487" s="17">
        <v>0</v>
      </c>
      <c r="E1487" s="12" t="s">
        <v>22</v>
      </c>
      <c r="F1487" s="17">
        <v>0</v>
      </c>
      <c r="G1487" s="12" t="s">
        <v>22</v>
      </c>
      <c r="H1487" s="17">
        <v>0</v>
      </c>
      <c r="I1487" s="28"/>
      <c r="J1487" s="28"/>
      <c r="K1487" s="28"/>
    </row>
    <row r="1488" spans="1:11" s="4" customFormat="1" x14ac:dyDescent="0.25">
      <c r="A1488" s="40"/>
      <c r="B1488" s="43"/>
      <c r="C1488" s="12" t="s">
        <v>23</v>
      </c>
      <c r="D1488" s="17">
        <v>0</v>
      </c>
      <c r="E1488" s="12" t="s">
        <v>23</v>
      </c>
      <c r="F1488" s="17">
        <v>0</v>
      </c>
      <c r="G1488" s="12" t="s">
        <v>23</v>
      </c>
      <c r="H1488" s="17">
        <v>0</v>
      </c>
      <c r="I1488" s="28"/>
      <c r="J1488" s="28"/>
      <c r="K1488" s="28"/>
    </row>
    <row r="1489" spans="1:11" s="4" customFormat="1" x14ac:dyDescent="0.25">
      <c r="A1489" s="40"/>
      <c r="B1489" s="43"/>
      <c r="C1489" s="12" t="s">
        <v>24</v>
      </c>
      <c r="D1489" s="17">
        <v>0</v>
      </c>
      <c r="E1489" s="12" t="s">
        <v>24</v>
      </c>
      <c r="F1489" s="17">
        <v>56076.86</v>
      </c>
      <c r="G1489" s="12" t="s">
        <v>24</v>
      </c>
      <c r="H1489" s="17">
        <v>0</v>
      </c>
      <c r="I1489" s="28"/>
      <c r="J1489" s="28"/>
      <c r="K1489" s="28"/>
    </row>
    <row r="1490" spans="1:11" s="4" customFormat="1" x14ac:dyDescent="0.25">
      <c r="A1490" s="41"/>
      <c r="B1490" s="44"/>
      <c r="C1490" s="12" t="s">
        <v>25</v>
      </c>
      <c r="D1490" s="17">
        <v>0</v>
      </c>
      <c r="E1490" s="12" t="s">
        <v>25</v>
      </c>
      <c r="F1490" s="17">
        <v>0</v>
      </c>
      <c r="G1490" s="12" t="s">
        <v>25</v>
      </c>
      <c r="H1490" s="17">
        <v>0</v>
      </c>
      <c r="I1490" s="29"/>
      <c r="J1490" s="28"/>
      <c r="K1490" s="29"/>
    </row>
    <row r="1491" spans="1:11" s="4" customFormat="1" x14ac:dyDescent="0.25">
      <c r="A1491" s="39" t="s">
        <v>491</v>
      </c>
      <c r="B1491" s="42" t="s">
        <v>492</v>
      </c>
      <c r="C1491" s="9" t="s">
        <v>28</v>
      </c>
      <c r="D1491" s="17">
        <f>D1493+D1494+D1495+D1496</f>
        <v>0</v>
      </c>
      <c r="E1491" s="9" t="s">
        <v>28</v>
      </c>
      <c r="F1491" s="17">
        <f>F1493+F1494+F1495+F1496</f>
        <v>22200</v>
      </c>
      <c r="G1491" s="9" t="s">
        <v>28</v>
      </c>
      <c r="H1491" s="17">
        <f>H1493+H1494+H1495+H1496</f>
        <v>0</v>
      </c>
      <c r="I1491" s="27" t="s">
        <v>248</v>
      </c>
      <c r="J1491" s="28"/>
      <c r="K1491" s="27" t="s">
        <v>214</v>
      </c>
    </row>
    <row r="1492" spans="1:11" s="4" customFormat="1" x14ac:dyDescent="0.25">
      <c r="A1492" s="40"/>
      <c r="B1492" s="43"/>
      <c r="C1492" s="9" t="s">
        <v>21</v>
      </c>
      <c r="D1492" s="17"/>
      <c r="E1492" s="9" t="s">
        <v>21</v>
      </c>
      <c r="F1492" s="17"/>
      <c r="G1492" s="9" t="s">
        <v>21</v>
      </c>
      <c r="H1492" s="17"/>
      <c r="I1492" s="28"/>
      <c r="J1492" s="28"/>
      <c r="K1492" s="28"/>
    </row>
    <row r="1493" spans="1:11" s="4" customFormat="1" x14ac:dyDescent="0.25">
      <c r="A1493" s="40"/>
      <c r="B1493" s="43"/>
      <c r="C1493" s="12" t="s">
        <v>22</v>
      </c>
      <c r="D1493" s="17">
        <f>D1499</f>
        <v>0</v>
      </c>
      <c r="E1493" s="12" t="s">
        <v>22</v>
      </c>
      <c r="F1493" s="17">
        <f>F1499</f>
        <v>0</v>
      </c>
      <c r="G1493" s="12" t="s">
        <v>22</v>
      </c>
      <c r="H1493" s="17">
        <f>H1499</f>
        <v>0</v>
      </c>
      <c r="I1493" s="28"/>
      <c r="J1493" s="28"/>
      <c r="K1493" s="28"/>
    </row>
    <row r="1494" spans="1:11" s="4" customFormat="1" x14ac:dyDescent="0.25">
      <c r="A1494" s="40"/>
      <c r="B1494" s="43"/>
      <c r="C1494" s="12" t="s">
        <v>23</v>
      </c>
      <c r="D1494" s="17">
        <f t="shared" ref="D1494:D1496" si="83">D1500</f>
        <v>0</v>
      </c>
      <c r="E1494" s="12" t="s">
        <v>23</v>
      </c>
      <c r="F1494" s="17">
        <f t="shared" ref="F1494:F1496" si="84">F1500</f>
        <v>0</v>
      </c>
      <c r="G1494" s="12" t="s">
        <v>23</v>
      </c>
      <c r="H1494" s="17">
        <f t="shared" ref="H1494:H1496" si="85">H1500</f>
        <v>0</v>
      </c>
      <c r="I1494" s="28"/>
      <c r="J1494" s="28"/>
      <c r="K1494" s="28"/>
    </row>
    <row r="1495" spans="1:11" s="4" customFormat="1" x14ac:dyDescent="0.25">
      <c r="A1495" s="40"/>
      <c r="B1495" s="43"/>
      <c r="C1495" s="12" t="s">
        <v>24</v>
      </c>
      <c r="D1495" s="17">
        <f t="shared" si="83"/>
        <v>0</v>
      </c>
      <c r="E1495" s="12" t="s">
        <v>24</v>
      </c>
      <c r="F1495" s="17">
        <f t="shared" si="84"/>
        <v>22200</v>
      </c>
      <c r="G1495" s="12" t="s">
        <v>24</v>
      </c>
      <c r="H1495" s="17">
        <f t="shared" si="85"/>
        <v>0</v>
      </c>
      <c r="I1495" s="28"/>
      <c r="J1495" s="28"/>
      <c r="K1495" s="28"/>
    </row>
    <row r="1496" spans="1:11" s="4" customFormat="1" x14ac:dyDescent="0.25">
      <c r="A1496" s="41"/>
      <c r="B1496" s="44"/>
      <c r="C1496" s="12" t="s">
        <v>25</v>
      </c>
      <c r="D1496" s="17">
        <f t="shared" si="83"/>
        <v>0</v>
      </c>
      <c r="E1496" s="12" t="s">
        <v>25</v>
      </c>
      <c r="F1496" s="17">
        <f t="shared" si="84"/>
        <v>0</v>
      </c>
      <c r="G1496" s="12" t="s">
        <v>25</v>
      </c>
      <c r="H1496" s="17">
        <f t="shared" si="85"/>
        <v>0</v>
      </c>
      <c r="I1496" s="29"/>
      <c r="J1496" s="28"/>
      <c r="K1496" s="29"/>
    </row>
    <row r="1497" spans="1:11" s="4" customFormat="1" x14ac:dyDescent="0.25">
      <c r="A1497" s="39" t="s">
        <v>493</v>
      </c>
      <c r="B1497" s="42" t="s">
        <v>95</v>
      </c>
      <c r="C1497" s="9" t="s">
        <v>28</v>
      </c>
      <c r="D1497" s="17">
        <f>D1499+D1500+D1501+D1502</f>
        <v>0</v>
      </c>
      <c r="E1497" s="9" t="s">
        <v>28</v>
      </c>
      <c r="F1497" s="17">
        <f>F1499+F1500+F1501+F1502</f>
        <v>22200</v>
      </c>
      <c r="G1497" s="9" t="s">
        <v>28</v>
      </c>
      <c r="H1497" s="17">
        <f>H1499+H1500+H1501+H1502</f>
        <v>0</v>
      </c>
      <c r="I1497" s="27" t="s">
        <v>248</v>
      </c>
      <c r="J1497" s="28"/>
      <c r="K1497" s="27" t="s">
        <v>214</v>
      </c>
    </row>
    <row r="1498" spans="1:11" s="4" customFormat="1" x14ac:dyDescent="0.25">
      <c r="A1498" s="40"/>
      <c r="B1498" s="43"/>
      <c r="C1498" s="9" t="s">
        <v>21</v>
      </c>
      <c r="D1498" s="17"/>
      <c r="E1498" s="9" t="s">
        <v>21</v>
      </c>
      <c r="F1498" s="17"/>
      <c r="G1498" s="9" t="s">
        <v>21</v>
      </c>
      <c r="H1498" s="17"/>
      <c r="I1498" s="28"/>
      <c r="J1498" s="28"/>
      <c r="K1498" s="28"/>
    </row>
    <row r="1499" spans="1:11" s="4" customFormat="1" x14ac:dyDescent="0.25">
      <c r="A1499" s="40"/>
      <c r="B1499" s="43"/>
      <c r="C1499" s="12" t="s">
        <v>22</v>
      </c>
      <c r="D1499" s="17">
        <v>0</v>
      </c>
      <c r="E1499" s="12" t="s">
        <v>22</v>
      </c>
      <c r="F1499" s="17">
        <v>0</v>
      </c>
      <c r="G1499" s="12" t="s">
        <v>22</v>
      </c>
      <c r="H1499" s="17">
        <v>0</v>
      </c>
      <c r="I1499" s="28"/>
      <c r="J1499" s="28"/>
      <c r="K1499" s="28"/>
    </row>
    <row r="1500" spans="1:11" s="4" customFormat="1" x14ac:dyDescent="0.25">
      <c r="A1500" s="40"/>
      <c r="B1500" s="43"/>
      <c r="C1500" s="12" t="s">
        <v>23</v>
      </c>
      <c r="D1500" s="17">
        <v>0</v>
      </c>
      <c r="E1500" s="12" t="s">
        <v>23</v>
      </c>
      <c r="F1500" s="17">
        <v>0</v>
      </c>
      <c r="G1500" s="12" t="s">
        <v>23</v>
      </c>
      <c r="H1500" s="17">
        <v>0</v>
      </c>
      <c r="I1500" s="28"/>
      <c r="J1500" s="28"/>
      <c r="K1500" s="28"/>
    </row>
    <row r="1501" spans="1:11" s="4" customFormat="1" x14ac:dyDescent="0.25">
      <c r="A1501" s="40"/>
      <c r="B1501" s="43"/>
      <c r="C1501" s="12" t="s">
        <v>24</v>
      </c>
      <c r="D1501" s="17">
        <v>0</v>
      </c>
      <c r="E1501" s="12" t="s">
        <v>24</v>
      </c>
      <c r="F1501" s="17">
        <v>22200</v>
      </c>
      <c r="G1501" s="12" t="s">
        <v>24</v>
      </c>
      <c r="H1501" s="17">
        <v>0</v>
      </c>
      <c r="I1501" s="28"/>
      <c r="J1501" s="28"/>
      <c r="K1501" s="28"/>
    </row>
    <row r="1502" spans="1:11" s="4" customFormat="1" x14ac:dyDescent="0.25">
      <c r="A1502" s="41"/>
      <c r="B1502" s="44"/>
      <c r="C1502" s="12" t="s">
        <v>25</v>
      </c>
      <c r="D1502" s="17">
        <v>0</v>
      </c>
      <c r="E1502" s="12" t="s">
        <v>25</v>
      </c>
      <c r="F1502" s="17">
        <v>0</v>
      </c>
      <c r="G1502" s="12" t="s">
        <v>25</v>
      </c>
      <c r="H1502" s="17">
        <v>0</v>
      </c>
      <c r="I1502" s="29"/>
      <c r="J1502" s="28"/>
      <c r="K1502" s="29"/>
    </row>
    <row r="1503" spans="1:11" s="4" customFormat="1" x14ac:dyDescent="0.25">
      <c r="A1503" s="39" t="s">
        <v>494</v>
      </c>
      <c r="B1503" s="42" t="s">
        <v>495</v>
      </c>
      <c r="C1503" s="9" t="s">
        <v>28</v>
      </c>
      <c r="D1503" s="17">
        <f>D1505+D1506+D1507+D1508</f>
        <v>3000</v>
      </c>
      <c r="E1503" s="9" t="s">
        <v>28</v>
      </c>
      <c r="F1503" s="17">
        <f>F1505+F1506+F1507+F1508</f>
        <v>0</v>
      </c>
      <c r="G1503" s="9" t="s">
        <v>28</v>
      </c>
      <c r="H1503" s="17">
        <f>H1505+H1506+H1507+H1508</f>
        <v>0</v>
      </c>
      <c r="I1503" s="27" t="s">
        <v>248</v>
      </c>
      <c r="J1503" s="28"/>
      <c r="K1503" s="27" t="s">
        <v>214</v>
      </c>
    </row>
    <row r="1504" spans="1:11" s="4" customFormat="1" x14ac:dyDescent="0.25">
      <c r="A1504" s="40"/>
      <c r="B1504" s="43"/>
      <c r="C1504" s="9" t="s">
        <v>21</v>
      </c>
      <c r="D1504" s="17"/>
      <c r="E1504" s="9" t="s">
        <v>21</v>
      </c>
      <c r="F1504" s="17"/>
      <c r="G1504" s="9" t="s">
        <v>21</v>
      </c>
      <c r="H1504" s="17"/>
      <c r="I1504" s="28"/>
      <c r="J1504" s="28"/>
      <c r="K1504" s="28"/>
    </row>
    <row r="1505" spans="1:11" s="4" customFormat="1" x14ac:dyDescent="0.25">
      <c r="A1505" s="40"/>
      <c r="B1505" s="43"/>
      <c r="C1505" s="12" t="s">
        <v>22</v>
      </c>
      <c r="D1505" s="17">
        <f>D1511+D1517</f>
        <v>0</v>
      </c>
      <c r="E1505" s="12" t="s">
        <v>22</v>
      </c>
      <c r="F1505" s="17">
        <f>F1511+F1517</f>
        <v>0</v>
      </c>
      <c r="G1505" s="12" t="s">
        <v>22</v>
      </c>
      <c r="H1505" s="17">
        <f>H1511+H1517</f>
        <v>0</v>
      </c>
      <c r="I1505" s="28"/>
      <c r="J1505" s="28"/>
      <c r="K1505" s="28"/>
    </row>
    <row r="1506" spans="1:11" s="4" customFormat="1" x14ac:dyDescent="0.25">
      <c r="A1506" s="40"/>
      <c r="B1506" s="43"/>
      <c r="C1506" s="12" t="s">
        <v>23</v>
      </c>
      <c r="D1506" s="17">
        <f t="shared" ref="D1506:F1508" si="86">D1512+D1518</f>
        <v>0</v>
      </c>
      <c r="E1506" s="12" t="s">
        <v>23</v>
      </c>
      <c r="F1506" s="17">
        <f t="shared" si="86"/>
        <v>0</v>
      </c>
      <c r="G1506" s="12" t="s">
        <v>23</v>
      </c>
      <c r="H1506" s="17">
        <f t="shared" ref="H1506:H1508" si="87">H1512+H1518</f>
        <v>0</v>
      </c>
      <c r="I1506" s="28"/>
      <c r="J1506" s="28"/>
      <c r="K1506" s="28"/>
    </row>
    <row r="1507" spans="1:11" s="4" customFormat="1" x14ac:dyDescent="0.25">
      <c r="A1507" s="40"/>
      <c r="B1507" s="43"/>
      <c r="C1507" s="12" t="s">
        <v>24</v>
      </c>
      <c r="D1507" s="17">
        <f t="shared" si="86"/>
        <v>3000</v>
      </c>
      <c r="E1507" s="12" t="s">
        <v>24</v>
      </c>
      <c r="F1507" s="17">
        <f t="shared" si="86"/>
        <v>0</v>
      </c>
      <c r="G1507" s="12" t="s">
        <v>24</v>
      </c>
      <c r="H1507" s="17">
        <f t="shared" si="87"/>
        <v>0</v>
      </c>
      <c r="I1507" s="28"/>
      <c r="J1507" s="28"/>
      <c r="K1507" s="28"/>
    </row>
    <row r="1508" spans="1:11" s="4" customFormat="1" x14ac:dyDescent="0.25">
      <c r="A1508" s="41"/>
      <c r="B1508" s="44"/>
      <c r="C1508" s="12" t="s">
        <v>25</v>
      </c>
      <c r="D1508" s="17">
        <f t="shared" si="86"/>
        <v>0</v>
      </c>
      <c r="E1508" s="12" t="s">
        <v>25</v>
      </c>
      <c r="F1508" s="17">
        <f t="shared" si="86"/>
        <v>0</v>
      </c>
      <c r="G1508" s="12" t="s">
        <v>25</v>
      </c>
      <c r="H1508" s="17">
        <f t="shared" si="87"/>
        <v>0</v>
      </c>
      <c r="I1508" s="29"/>
      <c r="J1508" s="28"/>
      <c r="K1508" s="29"/>
    </row>
    <row r="1509" spans="1:11" s="4" customFormat="1" x14ac:dyDescent="0.25">
      <c r="A1509" s="39" t="s">
        <v>496</v>
      </c>
      <c r="B1509" s="42" t="s">
        <v>497</v>
      </c>
      <c r="C1509" s="9" t="s">
        <v>28</v>
      </c>
      <c r="D1509" s="17">
        <f>D1511+D1512+D1513+D1514</f>
        <v>3000</v>
      </c>
      <c r="E1509" s="9" t="s">
        <v>28</v>
      </c>
      <c r="F1509" s="17">
        <f>F1511+F1512+F1513+F1514</f>
        <v>0</v>
      </c>
      <c r="G1509" s="9" t="s">
        <v>28</v>
      </c>
      <c r="H1509" s="17">
        <f>H1511+H1512+H1513+H1514</f>
        <v>0</v>
      </c>
      <c r="I1509" s="27" t="s">
        <v>248</v>
      </c>
      <c r="J1509" s="28"/>
      <c r="K1509" s="27" t="s">
        <v>214</v>
      </c>
    </row>
    <row r="1510" spans="1:11" s="4" customFormat="1" x14ac:dyDescent="0.25">
      <c r="A1510" s="40"/>
      <c r="B1510" s="43"/>
      <c r="C1510" s="9" t="s">
        <v>21</v>
      </c>
      <c r="D1510" s="17"/>
      <c r="E1510" s="9" t="s">
        <v>21</v>
      </c>
      <c r="F1510" s="17"/>
      <c r="G1510" s="9" t="s">
        <v>21</v>
      </c>
      <c r="H1510" s="17"/>
      <c r="I1510" s="28"/>
      <c r="J1510" s="28"/>
      <c r="K1510" s="28"/>
    </row>
    <row r="1511" spans="1:11" s="4" customFormat="1" x14ac:dyDescent="0.25">
      <c r="A1511" s="40"/>
      <c r="B1511" s="43"/>
      <c r="C1511" s="12" t="s">
        <v>22</v>
      </c>
      <c r="D1511" s="17">
        <v>0</v>
      </c>
      <c r="E1511" s="12" t="s">
        <v>22</v>
      </c>
      <c r="F1511" s="17">
        <v>0</v>
      </c>
      <c r="G1511" s="12" t="s">
        <v>22</v>
      </c>
      <c r="H1511" s="17">
        <v>0</v>
      </c>
      <c r="I1511" s="28"/>
      <c r="J1511" s="28"/>
      <c r="K1511" s="28"/>
    </row>
    <row r="1512" spans="1:11" s="4" customFormat="1" x14ac:dyDescent="0.25">
      <c r="A1512" s="40"/>
      <c r="B1512" s="43"/>
      <c r="C1512" s="12" t="s">
        <v>23</v>
      </c>
      <c r="D1512" s="17">
        <v>0</v>
      </c>
      <c r="E1512" s="12" t="s">
        <v>23</v>
      </c>
      <c r="F1512" s="17">
        <v>0</v>
      </c>
      <c r="G1512" s="12" t="s">
        <v>23</v>
      </c>
      <c r="H1512" s="17">
        <v>0</v>
      </c>
      <c r="I1512" s="28"/>
      <c r="J1512" s="28"/>
      <c r="K1512" s="28"/>
    </row>
    <row r="1513" spans="1:11" s="4" customFormat="1" x14ac:dyDescent="0.25">
      <c r="A1513" s="40"/>
      <c r="B1513" s="43"/>
      <c r="C1513" s="12" t="s">
        <v>24</v>
      </c>
      <c r="D1513" s="17">
        <v>3000</v>
      </c>
      <c r="E1513" s="12" t="s">
        <v>24</v>
      </c>
      <c r="F1513" s="17">
        <v>0</v>
      </c>
      <c r="G1513" s="12" t="s">
        <v>24</v>
      </c>
      <c r="H1513" s="17">
        <v>0</v>
      </c>
      <c r="I1513" s="28"/>
      <c r="J1513" s="28"/>
      <c r="K1513" s="28"/>
    </row>
    <row r="1514" spans="1:11" s="4" customFormat="1" x14ac:dyDescent="0.25">
      <c r="A1514" s="41"/>
      <c r="B1514" s="44"/>
      <c r="C1514" s="12" t="s">
        <v>25</v>
      </c>
      <c r="D1514" s="17">
        <v>0</v>
      </c>
      <c r="E1514" s="12" t="s">
        <v>25</v>
      </c>
      <c r="F1514" s="17">
        <v>0</v>
      </c>
      <c r="G1514" s="12" t="s">
        <v>25</v>
      </c>
      <c r="H1514" s="17">
        <v>0</v>
      </c>
      <c r="I1514" s="29"/>
      <c r="J1514" s="28"/>
      <c r="K1514" s="29"/>
    </row>
    <row r="1515" spans="1:11" s="4" customFormat="1" x14ac:dyDescent="0.25">
      <c r="A1515" s="39" t="s">
        <v>498</v>
      </c>
      <c r="B1515" s="42" t="s">
        <v>95</v>
      </c>
      <c r="C1515" s="9" t="s">
        <v>28</v>
      </c>
      <c r="D1515" s="17">
        <f>D1517+D1518+D1519+D1520</f>
        <v>0</v>
      </c>
      <c r="E1515" s="9" t="s">
        <v>28</v>
      </c>
      <c r="F1515" s="17">
        <f>F1517+F1518+F1519+F1520</f>
        <v>0</v>
      </c>
      <c r="G1515" s="9" t="s">
        <v>28</v>
      </c>
      <c r="H1515" s="17">
        <f>H1517+H1518+H1519+H1520</f>
        <v>0</v>
      </c>
      <c r="I1515" s="27" t="s">
        <v>248</v>
      </c>
      <c r="J1515" s="28"/>
      <c r="K1515" s="27" t="s">
        <v>214</v>
      </c>
    </row>
    <row r="1516" spans="1:11" s="4" customFormat="1" x14ac:dyDescent="0.25">
      <c r="A1516" s="40"/>
      <c r="B1516" s="43"/>
      <c r="C1516" s="9" t="s">
        <v>21</v>
      </c>
      <c r="D1516" s="17"/>
      <c r="E1516" s="9" t="s">
        <v>21</v>
      </c>
      <c r="F1516" s="17"/>
      <c r="G1516" s="9" t="s">
        <v>21</v>
      </c>
      <c r="H1516" s="17"/>
      <c r="I1516" s="28"/>
      <c r="J1516" s="28"/>
      <c r="K1516" s="28"/>
    </row>
    <row r="1517" spans="1:11" s="4" customFormat="1" x14ac:dyDescent="0.25">
      <c r="A1517" s="40"/>
      <c r="B1517" s="43"/>
      <c r="C1517" s="12" t="s">
        <v>22</v>
      </c>
      <c r="D1517" s="17">
        <v>0</v>
      </c>
      <c r="E1517" s="12" t="s">
        <v>22</v>
      </c>
      <c r="F1517" s="17">
        <v>0</v>
      </c>
      <c r="G1517" s="12" t="s">
        <v>22</v>
      </c>
      <c r="H1517" s="17">
        <v>0</v>
      </c>
      <c r="I1517" s="28"/>
      <c r="J1517" s="28"/>
      <c r="K1517" s="28"/>
    </row>
    <row r="1518" spans="1:11" s="4" customFormat="1" x14ac:dyDescent="0.25">
      <c r="A1518" s="40"/>
      <c r="B1518" s="43"/>
      <c r="C1518" s="12" t="s">
        <v>23</v>
      </c>
      <c r="D1518" s="17">
        <v>0</v>
      </c>
      <c r="E1518" s="12" t="s">
        <v>23</v>
      </c>
      <c r="F1518" s="17">
        <v>0</v>
      </c>
      <c r="G1518" s="12" t="s">
        <v>23</v>
      </c>
      <c r="H1518" s="17">
        <v>0</v>
      </c>
      <c r="I1518" s="28"/>
      <c r="J1518" s="28"/>
      <c r="K1518" s="28"/>
    </row>
    <row r="1519" spans="1:11" s="4" customFormat="1" x14ac:dyDescent="0.25">
      <c r="A1519" s="40"/>
      <c r="B1519" s="43"/>
      <c r="C1519" s="12" t="s">
        <v>24</v>
      </c>
      <c r="D1519" s="17">
        <v>0</v>
      </c>
      <c r="E1519" s="12" t="s">
        <v>24</v>
      </c>
      <c r="F1519" s="17">
        <v>0</v>
      </c>
      <c r="G1519" s="12" t="s">
        <v>24</v>
      </c>
      <c r="H1519" s="17">
        <v>0</v>
      </c>
      <c r="I1519" s="28"/>
      <c r="J1519" s="28"/>
      <c r="K1519" s="28"/>
    </row>
    <row r="1520" spans="1:11" s="4" customFormat="1" x14ac:dyDescent="0.25">
      <c r="A1520" s="41"/>
      <c r="B1520" s="44"/>
      <c r="C1520" s="12" t="s">
        <v>25</v>
      </c>
      <c r="D1520" s="17">
        <v>0</v>
      </c>
      <c r="E1520" s="12" t="s">
        <v>25</v>
      </c>
      <c r="F1520" s="17">
        <v>0</v>
      </c>
      <c r="G1520" s="12" t="s">
        <v>25</v>
      </c>
      <c r="H1520" s="17">
        <v>0</v>
      </c>
      <c r="I1520" s="29"/>
      <c r="J1520" s="28"/>
      <c r="K1520" s="29"/>
    </row>
    <row r="1521" spans="1:11" s="4" customFormat="1" x14ac:dyDescent="0.25">
      <c r="A1521" s="48" t="s">
        <v>499</v>
      </c>
      <c r="B1521" s="51" t="s">
        <v>500</v>
      </c>
      <c r="C1521" s="9" t="s">
        <v>28</v>
      </c>
      <c r="D1521" s="10">
        <f>D1523+D1524+D1525+D1526</f>
        <v>0</v>
      </c>
      <c r="E1521" s="9" t="s">
        <v>28</v>
      </c>
      <c r="F1521" s="10">
        <f>F1523+F1524+F1525+F1526</f>
        <v>20854.2</v>
      </c>
      <c r="G1521" s="9" t="s">
        <v>28</v>
      </c>
      <c r="H1521" s="10">
        <f>H1523+H1524+H1525+H1526</f>
        <v>126098.79999999999</v>
      </c>
      <c r="I1521" s="27" t="s">
        <v>501</v>
      </c>
      <c r="J1521" s="28"/>
      <c r="K1521" s="27" t="s">
        <v>214</v>
      </c>
    </row>
    <row r="1522" spans="1:11" s="4" customFormat="1" x14ac:dyDescent="0.25">
      <c r="A1522" s="49"/>
      <c r="B1522" s="52"/>
      <c r="C1522" s="9" t="s">
        <v>21</v>
      </c>
      <c r="D1522" s="10"/>
      <c r="E1522" s="9" t="s">
        <v>21</v>
      </c>
      <c r="F1522" s="10"/>
      <c r="G1522" s="9" t="s">
        <v>21</v>
      </c>
      <c r="H1522" s="10"/>
      <c r="I1522" s="28"/>
      <c r="J1522" s="28"/>
      <c r="K1522" s="28"/>
    </row>
    <row r="1523" spans="1:11" s="4" customFormat="1" x14ac:dyDescent="0.25">
      <c r="A1523" s="49"/>
      <c r="B1523" s="52"/>
      <c r="C1523" s="12" t="s">
        <v>22</v>
      </c>
      <c r="D1523" s="10">
        <f t="shared" ref="D1523:D1524" si="88">D1529</f>
        <v>0</v>
      </c>
      <c r="E1523" s="12" t="s">
        <v>22</v>
      </c>
      <c r="F1523" s="10">
        <f t="shared" ref="F1523:F1524" si="89">F1529</f>
        <v>19120.3</v>
      </c>
      <c r="G1523" s="12" t="s">
        <v>22</v>
      </c>
      <c r="H1523" s="10">
        <f t="shared" ref="H1523:H1524" si="90">H1529</f>
        <v>115615</v>
      </c>
      <c r="I1523" s="28"/>
      <c r="J1523" s="28"/>
      <c r="K1523" s="28"/>
    </row>
    <row r="1524" spans="1:11" s="4" customFormat="1" x14ac:dyDescent="0.25">
      <c r="A1524" s="49"/>
      <c r="B1524" s="52"/>
      <c r="C1524" s="12" t="s">
        <v>23</v>
      </c>
      <c r="D1524" s="10">
        <f t="shared" si="88"/>
        <v>0</v>
      </c>
      <c r="E1524" s="12" t="s">
        <v>23</v>
      </c>
      <c r="F1524" s="10">
        <f t="shared" si="89"/>
        <v>173.4</v>
      </c>
      <c r="G1524" s="12" t="s">
        <v>23</v>
      </c>
      <c r="H1524" s="10">
        <f t="shared" si="90"/>
        <v>1048.4000000000001</v>
      </c>
      <c r="I1524" s="28"/>
      <c r="J1524" s="28"/>
      <c r="K1524" s="28"/>
    </row>
    <row r="1525" spans="1:11" s="4" customFormat="1" x14ac:dyDescent="0.25">
      <c r="A1525" s="49"/>
      <c r="B1525" s="52"/>
      <c r="C1525" s="12" t="s">
        <v>24</v>
      </c>
      <c r="D1525" s="10">
        <f>D1531</f>
        <v>0</v>
      </c>
      <c r="E1525" s="12" t="s">
        <v>24</v>
      </c>
      <c r="F1525" s="10">
        <f>F1531</f>
        <v>1560.5</v>
      </c>
      <c r="G1525" s="12" t="s">
        <v>24</v>
      </c>
      <c r="H1525" s="10">
        <f>H1531</f>
        <v>9435.4</v>
      </c>
      <c r="I1525" s="28"/>
      <c r="J1525" s="28"/>
      <c r="K1525" s="28"/>
    </row>
    <row r="1526" spans="1:11" s="4" customFormat="1" x14ac:dyDescent="0.25">
      <c r="A1526" s="50"/>
      <c r="B1526" s="53"/>
      <c r="C1526" s="12" t="s">
        <v>25</v>
      </c>
      <c r="D1526" s="10">
        <f t="shared" ref="D1526" si="91">D1532</f>
        <v>0</v>
      </c>
      <c r="E1526" s="12" t="s">
        <v>25</v>
      </c>
      <c r="F1526" s="10">
        <f t="shared" ref="F1526" si="92">F1532</f>
        <v>0</v>
      </c>
      <c r="G1526" s="12" t="s">
        <v>25</v>
      </c>
      <c r="H1526" s="10">
        <f t="shared" ref="H1526" si="93">H1532</f>
        <v>0</v>
      </c>
      <c r="I1526" s="29"/>
      <c r="J1526" s="28"/>
      <c r="K1526" s="29"/>
    </row>
    <row r="1527" spans="1:11" s="4" customFormat="1" x14ac:dyDescent="0.25">
      <c r="A1527" s="39" t="s">
        <v>502</v>
      </c>
      <c r="B1527" s="42" t="s">
        <v>503</v>
      </c>
      <c r="C1527" s="9" t="s">
        <v>28</v>
      </c>
      <c r="D1527" s="17">
        <f>D1529+D1530+D1531+D1532</f>
        <v>0</v>
      </c>
      <c r="E1527" s="9" t="s">
        <v>28</v>
      </c>
      <c r="F1527" s="17">
        <f>F1529+F1530+F1531+F1532</f>
        <v>20854.2</v>
      </c>
      <c r="G1527" s="9" t="s">
        <v>28</v>
      </c>
      <c r="H1527" s="17">
        <f>H1529+H1530+H1531+H1532</f>
        <v>126098.79999999999</v>
      </c>
      <c r="I1527" s="27" t="s">
        <v>248</v>
      </c>
      <c r="J1527" s="28"/>
      <c r="K1527" s="27" t="s">
        <v>214</v>
      </c>
    </row>
    <row r="1528" spans="1:11" s="4" customFormat="1" x14ac:dyDescent="0.25">
      <c r="A1528" s="40"/>
      <c r="B1528" s="43"/>
      <c r="C1528" s="9" t="s">
        <v>21</v>
      </c>
      <c r="D1528" s="17"/>
      <c r="E1528" s="9" t="s">
        <v>21</v>
      </c>
      <c r="F1528" s="17"/>
      <c r="G1528" s="9" t="s">
        <v>21</v>
      </c>
      <c r="H1528" s="17"/>
      <c r="I1528" s="28"/>
      <c r="J1528" s="28"/>
      <c r="K1528" s="28"/>
    </row>
    <row r="1529" spans="1:11" s="4" customFormat="1" x14ac:dyDescent="0.25">
      <c r="A1529" s="40"/>
      <c r="B1529" s="43"/>
      <c r="C1529" s="12" t="s">
        <v>22</v>
      </c>
      <c r="D1529" s="17">
        <f t="shared" ref="D1529:F1531" si="94">D1535</f>
        <v>0</v>
      </c>
      <c r="E1529" s="12" t="s">
        <v>22</v>
      </c>
      <c r="F1529" s="17">
        <f t="shared" si="94"/>
        <v>19120.3</v>
      </c>
      <c r="G1529" s="12" t="s">
        <v>22</v>
      </c>
      <c r="H1529" s="17">
        <f t="shared" ref="H1529:H1531" si="95">H1535</f>
        <v>115615</v>
      </c>
      <c r="I1529" s="28"/>
      <c r="J1529" s="28"/>
      <c r="K1529" s="28"/>
    </row>
    <row r="1530" spans="1:11" s="4" customFormat="1" x14ac:dyDescent="0.25">
      <c r="A1530" s="40"/>
      <c r="B1530" s="43"/>
      <c r="C1530" s="12" t="s">
        <v>23</v>
      </c>
      <c r="D1530" s="17">
        <f t="shared" si="94"/>
        <v>0</v>
      </c>
      <c r="E1530" s="12" t="s">
        <v>23</v>
      </c>
      <c r="F1530" s="17">
        <f t="shared" si="94"/>
        <v>173.4</v>
      </c>
      <c r="G1530" s="12" t="s">
        <v>23</v>
      </c>
      <c r="H1530" s="17">
        <f t="shared" si="95"/>
        <v>1048.4000000000001</v>
      </c>
      <c r="I1530" s="28"/>
      <c r="J1530" s="28"/>
      <c r="K1530" s="28"/>
    </row>
    <row r="1531" spans="1:11" s="4" customFormat="1" x14ac:dyDescent="0.25">
      <c r="A1531" s="40"/>
      <c r="B1531" s="43"/>
      <c r="C1531" s="12" t="s">
        <v>24</v>
      </c>
      <c r="D1531" s="17">
        <f t="shared" si="94"/>
        <v>0</v>
      </c>
      <c r="E1531" s="12" t="s">
        <v>24</v>
      </c>
      <c r="F1531" s="17">
        <f t="shared" si="94"/>
        <v>1560.5</v>
      </c>
      <c r="G1531" s="12" t="s">
        <v>24</v>
      </c>
      <c r="H1531" s="17">
        <f t="shared" si="95"/>
        <v>9435.4</v>
      </c>
      <c r="I1531" s="28"/>
      <c r="J1531" s="28"/>
      <c r="K1531" s="28"/>
    </row>
    <row r="1532" spans="1:11" s="4" customFormat="1" x14ac:dyDescent="0.25">
      <c r="A1532" s="41"/>
      <c r="B1532" s="44"/>
      <c r="C1532" s="12" t="s">
        <v>25</v>
      </c>
      <c r="D1532" s="17">
        <f>D1538</f>
        <v>0</v>
      </c>
      <c r="E1532" s="12" t="s">
        <v>25</v>
      </c>
      <c r="F1532" s="17">
        <f>F1538</f>
        <v>0</v>
      </c>
      <c r="G1532" s="12" t="s">
        <v>25</v>
      </c>
      <c r="H1532" s="17">
        <f>H1538</f>
        <v>0</v>
      </c>
      <c r="I1532" s="29"/>
      <c r="J1532" s="28"/>
      <c r="K1532" s="29"/>
    </row>
    <row r="1533" spans="1:11" s="4" customFormat="1" x14ac:dyDescent="0.25">
      <c r="A1533" s="39" t="s">
        <v>504</v>
      </c>
      <c r="B1533" s="42" t="s">
        <v>95</v>
      </c>
      <c r="C1533" s="9" t="s">
        <v>28</v>
      </c>
      <c r="D1533" s="17">
        <f>D1535+D1536+D1537+D1538</f>
        <v>0</v>
      </c>
      <c r="E1533" s="9" t="s">
        <v>28</v>
      </c>
      <c r="F1533" s="17">
        <f>F1535+F1536+F1537+F1538</f>
        <v>20854.2</v>
      </c>
      <c r="G1533" s="9" t="s">
        <v>28</v>
      </c>
      <c r="H1533" s="17">
        <f>H1535+H1536+H1537+H1538</f>
        <v>126098.79999999999</v>
      </c>
      <c r="I1533" s="27" t="s">
        <v>248</v>
      </c>
      <c r="J1533" s="28"/>
      <c r="K1533" s="27" t="s">
        <v>214</v>
      </c>
    </row>
    <row r="1534" spans="1:11" s="4" customFormat="1" x14ac:dyDescent="0.25">
      <c r="A1534" s="40"/>
      <c r="B1534" s="43"/>
      <c r="C1534" s="9" t="s">
        <v>21</v>
      </c>
      <c r="D1534" s="17"/>
      <c r="E1534" s="9" t="s">
        <v>21</v>
      </c>
      <c r="F1534" s="17"/>
      <c r="G1534" s="9" t="s">
        <v>21</v>
      </c>
      <c r="H1534" s="17"/>
      <c r="I1534" s="28"/>
      <c r="J1534" s="28"/>
      <c r="K1534" s="28"/>
    </row>
    <row r="1535" spans="1:11" s="4" customFormat="1" x14ac:dyDescent="0.25">
      <c r="A1535" s="40"/>
      <c r="B1535" s="43"/>
      <c r="C1535" s="12" t="s">
        <v>22</v>
      </c>
      <c r="D1535" s="17">
        <v>0</v>
      </c>
      <c r="E1535" s="12" t="s">
        <v>22</v>
      </c>
      <c r="F1535" s="17">
        <v>19120.3</v>
      </c>
      <c r="G1535" s="12" t="s">
        <v>22</v>
      </c>
      <c r="H1535" s="17">
        <v>115615</v>
      </c>
      <c r="I1535" s="28"/>
      <c r="J1535" s="28"/>
      <c r="K1535" s="28"/>
    </row>
    <row r="1536" spans="1:11" s="4" customFormat="1" x14ac:dyDescent="0.25">
      <c r="A1536" s="40"/>
      <c r="B1536" s="43"/>
      <c r="C1536" s="12" t="s">
        <v>23</v>
      </c>
      <c r="D1536" s="17">
        <v>0</v>
      </c>
      <c r="E1536" s="12" t="s">
        <v>23</v>
      </c>
      <c r="F1536" s="17">
        <v>173.4</v>
      </c>
      <c r="G1536" s="12" t="s">
        <v>23</v>
      </c>
      <c r="H1536" s="17">
        <v>1048.4000000000001</v>
      </c>
      <c r="I1536" s="28"/>
      <c r="J1536" s="28"/>
      <c r="K1536" s="28"/>
    </row>
    <row r="1537" spans="1:11" s="4" customFormat="1" x14ac:dyDescent="0.25">
      <c r="A1537" s="40"/>
      <c r="B1537" s="43"/>
      <c r="C1537" s="12" t="s">
        <v>24</v>
      </c>
      <c r="D1537" s="17">
        <v>0</v>
      </c>
      <c r="E1537" s="12" t="s">
        <v>24</v>
      </c>
      <c r="F1537" s="17">
        <v>1560.5</v>
      </c>
      <c r="G1537" s="12" t="s">
        <v>24</v>
      </c>
      <c r="H1537" s="17">
        <v>9435.4</v>
      </c>
      <c r="I1537" s="28"/>
      <c r="J1537" s="28"/>
      <c r="K1537" s="28"/>
    </row>
    <row r="1538" spans="1:11" s="4" customFormat="1" x14ac:dyDescent="0.25">
      <c r="A1538" s="41"/>
      <c r="B1538" s="44"/>
      <c r="C1538" s="12" t="s">
        <v>25</v>
      </c>
      <c r="D1538" s="17">
        <v>0</v>
      </c>
      <c r="E1538" s="12" t="s">
        <v>25</v>
      </c>
      <c r="F1538" s="17">
        <v>0</v>
      </c>
      <c r="G1538" s="12" t="s">
        <v>25</v>
      </c>
      <c r="H1538" s="17">
        <v>0</v>
      </c>
      <c r="I1538" s="29"/>
      <c r="J1538" s="28"/>
      <c r="K1538" s="29"/>
    </row>
    <row r="1539" spans="1:11" s="4" customFormat="1" x14ac:dyDescent="0.25">
      <c r="A1539" s="48" t="s">
        <v>505</v>
      </c>
      <c r="B1539" s="51" t="s">
        <v>506</v>
      </c>
      <c r="C1539" s="9" t="s">
        <v>28</v>
      </c>
      <c r="D1539" s="10">
        <f>D1541+D1542+D1543+D1544</f>
        <v>4387.2643800000005</v>
      </c>
      <c r="E1539" s="9" t="s">
        <v>28</v>
      </c>
      <c r="F1539" s="10">
        <f>F1541+F1542+F1543+F1544</f>
        <v>0</v>
      </c>
      <c r="G1539" s="9" t="s">
        <v>28</v>
      </c>
      <c r="H1539" s="10">
        <f>H1541+H1542+H1543+H1544</f>
        <v>11115.3</v>
      </c>
      <c r="I1539" s="27" t="s">
        <v>501</v>
      </c>
      <c r="J1539" s="28"/>
      <c r="K1539" s="27" t="s">
        <v>214</v>
      </c>
    </row>
    <row r="1540" spans="1:11" s="4" customFormat="1" x14ac:dyDescent="0.25">
      <c r="A1540" s="49"/>
      <c r="B1540" s="52"/>
      <c r="C1540" s="9" t="s">
        <v>21</v>
      </c>
      <c r="D1540" s="10"/>
      <c r="E1540" s="9" t="s">
        <v>21</v>
      </c>
      <c r="F1540" s="10"/>
      <c r="G1540" s="9" t="s">
        <v>21</v>
      </c>
      <c r="H1540" s="10"/>
      <c r="I1540" s="28"/>
      <c r="J1540" s="28"/>
      <c r="K1540" s="28"/>
    </row>
    <row r="1541" spans="1:11" s="4" customFormat="1" x14ac:dyDescent="0.25">
      <c r="A1541" s="49"/>
      <c r="B1541" s="52"/>
      <c r="C1541" s="12" t="s">
        <v>22</v>
      </c>
      <c r="D1541" s="10">
        <f t="shared" ref="D1541:F1544" si="96">D1547</f>
        <v>0</v>
      </c>
      <c r="E1541" s="12" t="s">
        <v>22</v>
      </c>
      <c r="F1541" s="10">
        <f t="shared" si="96"/>
        <v>0</v>
      </c>
      <c r="G1541" s="12" t="s">
        <v>22</v>
      </c>
      <c r="H1541" s="10">
        <f t="shared" ref="H1541:H1542" si="97">H1547</f>
        <v>0</v>
      </c>
      <c r="I1541" s="28"/>
      <c r="J1541" s="28"/>
      <c r="K1541" s="28"/>
    </row>
    <row r="1542" spans="1:11" s="4" customFormat="1" x14ac:dyDescent="0.25">
      <c r="A1542" s="49"/>
      <c r="B1542" s="52"/>
      <c r="C1542" s="12" t="s">
        <v>23</v>
      </c>
      <c r="D1542" s="10">
        <f t="shared" si="96"/>
        <v>0</v>
      </c>
      <c r="E1542" s="12" t="s">
        <v>23</v>
      </c>
      <c r="F1542" s="10">
        <f t="shared" si="96"/>
        <v>0</v>
      </c>
      <c r="G1542" s="12" t="s">
        <v>23</v>
      </c>
      <c r="H1542" s="10">
        <f t="shared" si="97"/>
        <v>0</v>
      </c>
      <c r="I1542" s="28"/>
      <c r="J1542" s="28"/>
      <c r="K1542" s="28"/>
    </row>
    <row r="1543" spans="1:11" s="4" customFormat="1" x14ac:dyDescent="0.25">
      <c r="A1543" s="49"/>
      <c r="B1543" s="52"/>
      <c r="C1543" s="12" t="s">
        <v>24</v>
      </c>
      <c r="D1543" s="10">
        <f>D1549</f>
        <v>4387.2643800000005</v>
      </c>
      <c r="E1543" s="12" t="s">
        <v>24</v>
      </c>
      <c r="F1543" s="10">
        <f>F1549</f>
        <v>0</v>
      </c>
      <c r="G1543" s="12" t="s">
        <v>24</v>
      </c>
      <c r="H1543" s="10">
        <f>H1549</f>
        <v>11115.3</v>
      </c>
      <c r="I1543" s="28"/>
      <c r="J1543" s="28"/>
      <c r="K1543" s="28"/>
    </row>
    <row r="1544" spans="1:11" s="4" customFormat="1" x14ac:dyDescent="0.25">
      <c r="A1544" s="50"/>
      <c r="B1544" s="53"/>
      <c r="C1544" s="12" t="s">
        <v>25</v>
      </c>
      <c r="D1544" s="10">
        <f t="shared" si="96"/>
        <v>0</v>
      </c>
      <c r="E1544" s="12" t="s">
        <v>25</v>
      </c>
      <c r="F1544" s="10">
        <f t="shared" si="96"/>
        <v>0</v>
      </c>
      <c r="G1544" s="12" t="s">
        <v>25</v>
      </c>
      <c r="H1544" s="10">
        <f t="shared" ref="H1544" si="98">H1550</f>
        <v>0</v>
      </c>
      <c r="I1544" s="29"/>
      <c r="J1544" s="28"/>
      <c r="K1544" s="29"/>
    </row>
    <row r="1545" spans="1:11" s="4" customFormat="1" x14ac:dyDescent="0.25">
      <c r="A1545" s="39" t="s">
        <v>507</v>
      </c>
      <c r="B1545" s="42" t="s">
        <v>508</v>
      </c>
      <c r="C1545" s="9" t="s">
        <v>28</v>
      </c>
      <c r="D1545" s="17">
        <f>D1547+D1548+D1549+D1550</f>
        <v>4387.2643800000005</v>
      </c>
      <c r="E1545" s="9" t="s">
        <v>28</v>
      </c>
      <c r="F1545" s="17">
        <f>F1547+F1548+F1549+F1550</f>
        <v>0</v>
      </c>
      <c r="G1545" s="9" t="s">
        <v>28</v>
      </c>
      <c r="H1545" s="17">
        <f>H1547+H1548+H1549+H1550</f>
        <v>11115.3</v>
      </c>
      <c r="I1545" s="27" t="s">
        <v>501</v>
      </c>
      <c r="J1545" s="28"/>
      <c r="K1545" s="27" t="s">
        <v>214</v>
      </c>
    </row>
    <row r="1546" spans="1:11" s="4" customFormat="1" x14ac:dyDescent="0.25">
      <c r="A1546" s="40"/>
      <c r="B1546" s="43"/>
      <c r="C1546" s="9" t="s">
        <v>21</v>
      </c>
      <c r="D1546" s="17"/>
      <c r="E1546" s="9" t="s">
        <v>21</v>
      </c>
      <c r="F1546" s="17"/>
      <c r="G1546" s="9" t="s">
        <v>21</v>
      </c>
      <c r="H1546" s="17"/>
      <c r="I1546" s="28"/>
      <c r="J1546" s="28"/>
      <c r="K1546" s="28"/>
    </row>
    <row r="1547" spans="1:11" s="4" customFormat="1" x14ac:dyDescent="0.25">
      <c r="A1547" s="40"/>
      <c r="B1547" s="43"/>
      <c r="C1547" s="12" t="s">
        <v>22</v>
      </c>
      <c r="D1547" s="17">
        <f>D1553+D1559+D1565+D1571+D1577+D1583+D1589+D1595+D1601+D1607+D1613+D1643+D1619+D1625+D1631+D1637</f>
        <v>0</v>
      </c>
      <c r="E1547" s="12" t="s">
        <v>22</v>
      </c>
      <c r="F1547" s="17">
        <f>F1553+F1559+F1565+F1571+F1577+F1583+F1589+F1595+F1601+F1607+F1613+F1643+F1619+F1625</f>
        <v>0</v>
      </c>
      <c r="G1547" s="12" t="s">
        <v>22</v>
      </c>
      <c r="H1547" s="17">
        <f>H1553+H1559+H1565+H1571+H1577+H1583+H1589+H1595+H1601+H1607+H1613+H1643+H1619+H1625</f>
        <v>0</v>
      </c>
      <c r="I1547" s="28"/>
      <c r="J1547" s="28"/>
      <c r="K1547" s="28"/>
    </row>
    <row r="1548" spans="1:11" s="4" customFormat="1" x14ac:dyDescent="0.25">
      <c r="A1548" s="40"/>
      <c r="B1548" s="43"/>
      <c r="C1548" s="12" t="s">
        <v>23</v>
      </c>
      <c r="D1548" s="17">
        <f t="shared" ref="D1548:D1550" si="99">D1554+D1560+D1566+D1572+D1578+D1584+D1590+D1596+D1602+D1608+D1614+D1644+D1620+D1626+D1632+D1638</f>
        <v>0</v>
      </c>
      <c r="E1548" s="12" t="s">
        <v>23</v>
      </c>
      <c r="F1548" s="17">
        <f>F1554+F1560+F1566+F1572+F1578+F1584+F1590+F1596+F1602+F1608+F1614+F1644+F1620+F1626</f>
        <v>0</v>
      </c>
      <c r="G1548" s="12" t="s">
        <v>23</v>
      </c>
      <c r="H1548" s="17">
        <f>H1554+H1560+H1566+H1572+H1578+H1584+H1590+H1596+H1602+H1608+H1614+H1644+H1620+H1626</f>
        <v>0</v>
      </c>
      <c r="I1548" s="28"/>
      <c r="J1548" s="28"/>
      <c r="K1548" s="28"/>
    </row>
    <row r="1549" spans="1:11" s="4" customFormat="1" x14ac:dyDescent="0.25">
      <c r="A1549" s="40"/>
      <c r="B1549" s="43"/>
      <c r="C1549" s="12" t="s">
        <v>24</v>
      </c>
      <c r="D1549" s="17">
        <f t="shared" si="99"/>
        <v>4387.2643800000005</v>
      </c>
      <c r="E1549" s="12" t="s">
        <v>24</v>
      </c>
      <c r="F1549" s="17">
        <f>F1555+F1561+F1567+F1573+F1579+F1585+F1591+F1597+F1603+F1609+F1615+F1645+F1621+F1627</f>
        <v>0</v>
      </c>
      <c r="G1549" s="12" t="s">
        <v>24</v>
      </c>
      <c r="H1549" s="17">
        <f>H1555+H1561+H1567+H1573+H1579+H1585+H1591+H1597+H1603+H1609+H1615+H1645+H1621+H1627</f>
        <v>11115.3</v>
      </c>
      <c r="I1549" s="28"/>
      <c r="J1549" s="28"/>
      <c r="K1549" s="28"/>
    </row>
    <row r="1550" spans="1:11" s="4" customFormat="1" x14ac:dyDescent="0.25">
      <c r="A1550" s="41"/>
      <c r="B1550" s="44"/>
      <c r="C1550" s="12" t="s">
        <v>25</v>
      </c>
      <c r="D1550" s="17">
        <f t="shared" si="99"/>
        <v>0</v>
      </c>
      <c r="E1550" s="12" t="s">
        <v>25</v>
      </c>
      <c r="F1550" s="17">
        <f>F1556+F1562+F1568+F1574+F1580+F1586+F1592+F1598+F1604+F1610+F1616+F1646+F1622+F1628</f>
        <v>0</v>
      </c>
      <c r="G1550" s="12" t="s">
        <v>25</v>
      </c>
      <c r="H1550" s="17">
        <f>H1556+H1562+H1568+H1574+H1580+H1586+H1592+H1598+H1604+H1610+H1616+H1646+H1622+H1628</f>
        <v>0</v>
      </c>
      <c r="I1550" s="29"/>
      <c r="J1550" s="28"/>
      <c r="K1550" s="29"/>
    </row>
    <row r="1551" spans="1:11" s="4" customFormat="1" x14ac:dyDescent="0.25">
      <c r="A1551" s="39" t="s">
        <v>509</v>
      </c>
      <c r="B1551" s="42" t="s">
        <v>510</v>
      </c>
      <c r="C1551" s="9" t="s">
        <v>28</v>
      </c>
      <c r="D1551" s="17">
        <f>D1553+D1554+D1555+D1556</f>
        <v>405.57377000000002</v>
      </c>
      <c r="E1551" s="9" t="s">
        <v>28</v>
      </c>
      <c r="F1551" s="17">
        <f>F1553+F1554+F1555+F1556</f>
        <v>0</v>
      </c>
      <c r="G1551" s="9" t="s">
        <v>28</v>
      </c>
      <c r="H1551" s="17">
        <f>H1553+H1554+H1555+H1556</f>
        <v>0</v>
      </c>
      <c r="I1551" s="27" t="s">
        <v>501</v>
      </c>
      <c r="J1551" s="28"/>
      <c r="K1551" s="27" t="s">
        <v>214</v>
      </c>
    </row>
    <row r="1552" spans="1:11" s="4" customFormat="1" x14ac:dyDescent="0.25">
      <c r="A1552" s="40"/>
      <c r="B1552" s="43"/>
      <c r="C1552" s="9" t="s">
        <v>21</v>
      </c>
      <c r="D1552" s="17"/>
      <c r="E1552" s="9" t="s">
        <v>21</v>
      </c>
      <c r="F1552" s="17"/>
      <c r="G1552" s="9" t="s">
        <v>21</v>
      </c>
      <c r="H1552" s="17"/>
      <c r="I1552" s="28"/>
      <c r="J1552" s="28"/>
      <c r="K1552" s="28"/>
    </row>
    <row r="1553" spans="1:11" s="4" customFormat="1" x14ac:dyDescent="0.25">
      <c r="A1553" s="40"/>
      <c r="B1553" s="43"/>
      <c r="C1553" s="12" t="s">
        <v>22</v>
      </c>
      <c r="D1553" s="17">
        <v>0</v>
      </c>
      <c r="E1553" s="12" t="s">
        <v>22</v>
      </c>
      <c r="F1553" s="17">
        <v>0</v>
      </c>
      <c r="G1553" s="12" t="s">
        <v>22</v>
      </c>
      <c r="H1553" s="17">
        <v>0</v>
      </c>
      <c r="I1553" s="28"/>
      <c r="J1553" s="28"/>
      <c r="K1553" s="28"/>
    </row>
    <row r="1554" spans="1:11" s="4" customFormat="1" x14ac:dyDescent="0.25">
      <c r="A1554" s="40"/>
      <c r="B1554" s="43"/>
      <c r="C1554" s="12" t="s">
        <v>23</v>
      </c>
      <c r="D1554" s="17">
        <v>0</v>
      </c>
      <c r="E1554" s="12" t="s">
        <v>23</v>
      </c>
      <c r="F1554" s="17">
        <v>0</v>
      </c>
      <c r="G1554" s="12" t="s">
        <v>23</v>
      </c>
      <c r="H1554" s="17">
        <v>0</v>
      </c>
      <c r="I1554" s="28"/>
      <c r="J1554" s="28"/>
      <c r="K1554" s="28"/>
    </row>
    <row r="1555" spans="1:11" s="4" customFormat="1" x14ac:dyDescent="0.25">
      <c r="A1555" s="40"/>
      <c r="B1555" s="43"/>
      <c r="C1555" s="12" t="s">
        <v>24</v>
      </c>
      <c r="D1555" s="17">
        <f>405573.77/1000</f>
        <v>405.57377000000002</v>
      </c>
      <c r="E1555" s="12" t="s">
        <v>24</v>
      </c>
      <c r="F1555" s="17">
        <v>0</v>
      </c>
      <c r="G1555" s="12" t="s">
        <v>24</v>
      </c>
      <c r="H1555" s="17">
        <v>0</v>
      </c>
      <c r="I1555" s="28"/>
      <c r="J1555" s="28"/>
      <c r="K1555" s="28"/>
    </row>
    <row r="1556" spans="1:11" s="4" customFormat="1" x14ac:dyDescent="0.25">
      <c r="A1556" s="41"/>
      <c r="B1556" s="44"/>
      <c r="C1556" s="12" t="s">
        <v>25</v>
      </c>
      <c r="D1556" s="17">
        <v>0</v>
      </c>
      <c r="E1556" s="12" t="s">
        <v>25</v>
      </c>
      <c r="F1556" s="17">
        <v>0</v>
      </c>
      <c r="G1556" s="12" t="s">
        <v>25</v>
      </c>
      <c r="H1556" s="17">
        <v>0</v>
      </c>
      <c r="I1556" s="29"/>
      <c r="J1556" s="28"/>
      <c r="K1556" s="29"/>
    </row>
    <row r="1557" spans="1:11" s="4" customFormat="1" x14ac:dyDescent="0.25">
      <c r="A1557" s="39" t="s">
        <v>511</v>
      </c>
      <c r="B1557" s="42" t="s">
        <v>512</v>
      </c>
      <c r="C1557" s="9" t="s">
        <v>28</v>
      </c>
      <c r="D1557" s="17">
        <f>D1559+D1560+D1561+D1562</f>
        <v>125.01850999999999</v>
      </c>
      <c r="E1557" s="9" t="s">
        <v>28</v>
      </c>
      <c r="F1557" s="17">
        <f>F1559+F1560+F1561+F1562</f>
        <v>0</v>
      </c>
      <c r="G1557" s="9" t="s">
        <v>28</v>
      </c>
      <c r="H1557" s="17">
        <f>H1559+H1560+H1561+H1562</f>
        <v>0</v>
      </c>
      <c r="I1557" s="27" t="s">
        <v>501</v>
      </c>
      <c r="J1557" s="28"/>
      <c r="K1557" s="27" t="s">
        <v>214</v>
      </c>
    </row>
    <row r="1558" spans="1:11" s="4" customFormat="1" x14ac:dyDescent="0.25">
      <c r="A1558" s="40"/>
      <c r="B1558" s="43"/>
      <c r="C1558" s="9" t="s">
        <v>21</v>
      </c>
      <c r="D1558" s="17"/>
      <c r="E1558" s="9" t="s">
        <v>21</v>
      </c>
      <c r="F1558" s="17"/>
      <c r="G1558" s="9" t="s">
        <v>21</v>
      </c>
      <c r="H1558" s="17"/>
      <c r="I1558" s="28"/>
      <c r="J1558" s="28"/>
      <c r="K1558" s="28"/>
    </row>
    <row r="1559" spans="1:11" s="4" customFormat="1" x14ac:dyDescent="0.25">
      <c r="A1559" s="40"/>
      <c r="B1559" s="43"/>
      <c r="C1559" s="12" t="s">
        <v>22</v>
      </c>
      <c r="D1559" s="17">
        <v>0</v>
      </c>
      <c r="E1559" s="12" t="s">
        <v>22</v>
      </c>
      <c r="F1559" s="17">
        <v>0</v>
      </c>
      <c r="G1559" s="12" t="s">
        <v>22</v>
      </c>
      <c r="H1559" s="17">
        <v>0</v>
      </c>
      <c r="I1559" s="28"/>
      <c r="J1559" s="28"/>
      <c r="K1559" s="28"/>
    </row>
    <row r="1560" spans="1:11" s="4" customFormat="1" x14ac:dyDescent="0.25">
      <c r="A1560" s="40"/>
      <c r="B1560" s="43"/>
      <c r="C1560" s="12" t="s">
        <v>23</v>
      </c>
      <c r="D1560" s="17">
        <v>0</v>
      </c>
      <c r="E1560" s="12" t="s">
        <v>23</v>
      </c>
      <c r="F1560" s="17">
        <v>0</v>
      </c>
      <c r="G1560" s="12" t="s">
        <v>23</v>
      </c>
      <c r="H1560" s="17">
        <v>0</v>
      </c>
      <c r="I1560" s="28"/>
      <c r="J1560" s="28"/>
      <c r="K1560" s="28"/>
    </row>
    <row r="1561" spans="1:11" s="4" customFormat="1" x14ac:dyDescent="0.25">
      <c r="A1561" s="40"/>
      <c r="B1561" s="43"/>
      <c r="C1561" s="12" t="s">
        <v>24</v>
      </c>
      <c r="D1561" s="17">
        <f>125018.51/1000</f>
        <v>125.01850999999999</v>
      </c>
      <c r="E1561" s="12" t="s">
        <v>24</v>
      </c>
      <c r="F1561" s="17">
        <v>0</v>
      </c>
      <c r="G1561" s="12" t="s">
        <v>24</v>
      </c>
      <c r="H1561" s="17">
        <v>0</v>
      </c>
      <c r="I1561" s="28"/>
      <c r="J1561" s="28"/>
      <c r="K1561" s="28"/>
    </row>
    <row r="1562" spans="1:11" s="4" customFormat="1" x14ac:dyDescent="0.25">
      <c r="A1562" s="41"/>
      <c r="B1562" s="44"/>
      <c r="C1562" s="12" t="s">
        <v>25</v>
      </c>
      <c r="D1562" s="17">
        <v>0</v>
      </c>
      <c r="E1562" s="12" t="s">
        <v>25</v>
      </c>
      <c r="F1562" s="17">
        <v>0</v>
      </c>
      <c r="G1562" s="12" t="s">
        <v>25</v>
      </c>
      <c r="H1562" s="17">
        <v>0</v>
      </c>
      <c r="I1562" s="29"/>
      <c r="J1562" s="28"/>
      <c r="K1562" s="29"/>
    </row>
    <row r="1563" spans="1:11" s="4" customFormat="1" x14ac:dyDescent="0.25">
      <c r="A1563" s="39" t="s">
        <v>513</v>
      </c>
      <c r="B1563" s="42" t="s">
        <v>514</v>
      </c>
      <c r="C1563" s="9" t="s">
        <v>28</v>
      </c>
      <c r="D1563" s="17">
        <f>D1565+D1566+D1567+D1568</f>
        <v>268.49728000000005</v>
      </c>
      <c r="E1563" s="9" t="s">
        <v>28</v>
      </c>
      <c r="F1563" s="17">
        <f>F1565+F1566+F1567+F1568</f>
        <v>0</v>
      </c>
      <c r="G1563" s="9" t="s">
        <v>28</v>
      </c>
      <c r="H1563" s="17">
        <f>H1565+H1566+H1567+H1568</f>
        <v>0</v>
      </c>
      <c r="I1563" s="27" t="s">
        <v>501</v>
      </c>
      <c r="J1563" s="28"/>
      <c r="K1563" s="27" t="s">
        <v>214</v>
      </c>
    </row>
    <row r="1564" spans="1:11" s="4" customFormat="1" x14ac:dyDescent="0.25">
      <c r="A1564" s="40"/>
      <c r="B1564" s="43"/>
      <c r="C1564" s="9" t="s">
        <v>21</v>
      </c>
      <c r="D1564" s="17"/>
      <c r="E1564" s="9" t="s">
        <v>21</v>
      </c>
      <c r="F1564" s="17"/>
      <c r="G1564" s="9" t="s">
        <v>21</v>
      </c>
      <c r="H1564" s="17"/>
      <c r="I1564" s="28"/>
      <c r="J1564" s="28"/>
      <c r="K1564" s="28"/>
    </row>
    <row r="1565" spans="1:11" s="4" customFormat="1" x14ac:dyDescent="0.25">
      <c r="A1565" s="40"/>
      <c r="B1565" s="43"/>
      <c r="C1565" s="12" t="s">
        <v>22</v>
      </c>
      <c r="D1565" s="17">
        <v>0</v>
      </c>
      <c r="E1565" s="12" t="s">
        <v>22</v>
      </c>
      <c r="F1565" s="17">
        <v>0</v>
      </c>
      <c r="G1565" s="12" t="s">
        <v>22</v>
      </c>
      <c r="H1565" s="17">
        <v>0</v>
      </c>
      <c r="I1565" s="28"/>
      <c r="J1565" s="28"/>
      <c r="K1565" s="28"/>
    </row>
    <row r="1566" spans="1:11" s="4" customFormat="1" x14ac:dyDescent="0.25">
      <c r="A1566" s="40"/>
      <c r="B1566" s="43"/>
      <c r="C1566" s="12" t="s">
        <v>23</v>
      </c>
      <c r="D1566" s="17">
        <v>0</v>
      </c>
      <c r="E1566" s="12" t="s">
        <v>23</v>
      </c>
      <c r="F1566" s="17">
        <v>0</v>
      </c>
      <c r="G1566" s="12" t="s">
        <v>23</v>
      </c>
      <c r="H1566" s="17">
        <v>0</v>
      </c>
      <c r="I1566" s="28"/>
      <c r="J1566" s="28"/>
      <c r="K1566" s="28"/>
    </row>
    <row r="1567" spans="1:11" s="4" customFormat="1" x14ac:dyDescent="0.25">
      <c r="A1567" s="40"/>
      <c r="B1567" s="43"/>
      <c r="C1567" s="12" t="s">
        <v>24</v>
      </c>
      <c r="D1567" s="17">
        <f>268497.28/1000</f>
        <v>268.49728000000005</v>
      </c>
      <c r="E1567" s="12" t="s">
        <v>24</v>
      </c>
      <c r="F1567" s="17">
        <v>0</v>
      </c>
      <c r="G1567" s="12" t="s">
        <v>24</v>
      </c>
      <c r="H1567" s="17">
        <v>0</v>
      </c>
      <c r="I1567" s="28"/>
      <c r="J1567" s="28"/>
      <c r="K1567" s="28"/>
    </row>
    <row r="1568" spans="1:11" s="4" customFormat="1" x14ac:dyDescent="0.25">
      <c r="A1568" s="41"/>
      <c r="B1568" s="44"/>
      <c r="C1568" s="12" t="s">
        <v>25</v>
      </c>
      <c r="D1568" s="17">
        <v>0</v>
      </c>
      <c r="E1568" s="12" t="s">
        <v>25</v>
      </c>
      <c r="F1568" s="17">
        <v>0</v>
      </c>
      <c r="G1568" s="12" t="s">
        <v>25</v>
      </c>
      <c r="H1568" s="17">
        <v>0</v>
      </c>
      <c r="I1568" s="29"/>
      <c r="J1568" s="28"/>
      <c r="K1568" s="29"/>
    </row>
    <row r="1569" spans="1:11" s="4" customFormat="1" x14ac:dyDescent="0.25">
      <c r="A1569" s="39" t="s">
        <v>515</v>
      </c>
      <c r="B1569" s="42" t="s">
        <v>516</v>
      </c>
      <c r="C1569" s="9" t="s">
        <v>28</v>
      </c>
      <c r="D1569" s="17">
        <f>D1571+D1572+D1573+D1574</f>
        <v>48.1</v>
      </c>
      <c r="E1569" s="9" t="s">
        <v>28</v>
      </c>
      <c r="F1569" s="17">
        <f>F1571+F1572+F1573+F1574</f>
        <v>0</v>
      </c>
      <c r="G1569" s="9" t="s">
        <v>28</v>
      </c>
      <c r="H1569" s="17">
        <f>H1571+H1572+H1573+H1574</f>
        <v>0</v>
      </c>
      <c r="I1569" s="27" t="s">
        <v>501</v>
      </c>
      <c r="J1569" s="28"/>
      <c r="K1569" s="27" t="s">
        <v>214</v>
      </c>
    </row>
    <row r="1570" spans="1:11" s="4" customFormat="1" x14ac:dyDescent="0.25">
      <c r="A1570" s="40"/>
      <c r="B1570" s="43"/>
      <c r="C1570" s="9" t="s">
        <v>21</v>
      </c>
      <c r="D1570" s="17"/>
      <c r="E1570" s="9" t="s">
        <v>21</v>
      </c>
      <c r="F1570" s="17"/>
      <c r="G1570" s="9" t="s">
        <v>21</v>
      </c>
      <c r="H1570" s="17"/>
      <c r="I1570" s="28"/>
      <c r="J1570" s="28"/>
      <c r="K1570" s="28"/>
    </row>
    <row r="1571" spans="1:11" s="4" customFormat="1" x14ac:dyDescent="0.25">
      <c r="A1571" s="40"/>
      <c r="B1571" s="43"/>
      <c r="C1571" s="12" t="s">
        <v>22</v>
      </c>
      <c r="D1571" s="17">
        <v>0</v>
      </c>
      <c r="E1571" s="12" t="s">
        <v>22</v>
      </c>
      <c r="F1571" s="17">
        <v>0</v>
      </c>
      <c r="G1571" s="12" t="s">
        <v>22</v>
      </c>
      <c r="H1571" s="17">
        <v>0</v>
      </c>
      <c r="I1571" s="28"/>
      <c r="J1571" s="28"/>
      <c r="K1571" s="28"/>
    </row>
    <row r="1572" spans="1:11" s="4" customFormat="1" x14ac:dyDescent="0.25">
      <c r="A1572" s="40"/>
      <c r="B1572" s="43"/>
      <c r="C1572" s="12" t="s">
        <v>23</v>
      </c>
      <c r="D1572" s="17">
        <v>0</v>
      </c>
      <c r="E1572" s="12" t="s">
        <v>23</v>
      </c>
      <c r="F1572" s="17">
        <v>0</v>
      </c>
      <c r="G1572" s="12" t="s">
        <v>23</v>
      </c>
      <c r="H1572" s="17">
        <v>0</v>
      </c>
      <c r="I1572" s="28"/>
      <c r="J1572" s="28"/>
      <c r="K1572" s="28"/>
    </row>
    <row r="1573" spans="1:11" s="4" customFormat="1" x14ac:dyDescent="0.25">
      <c r="A1573" s="40"/>
      <c r="B1573" s="43"/>
      <c r="C1573" s="12" t="s">
        <v>24</v>
      </c>
      <c r="D1573" s="17">
        <f>48100/1000</f>
        <v>48.1</v>
      </c>
      <c r="E1573" s="12" t="s">
        <v>24</v>
      </c>
      <c r="F1573" s="17">
        <v>0</v>
      </c>
      <c r="G1573" s="12" t="s">
        <v>24</v>
      </c>
      <c r="H1573" s="17">
        <v>0</v>
      </c>
      <c r="I1573" s="28"/>
      <c r="J1573" s="28"/>
      <c r="K1573" s="28"/>
    </row>
    <row r="1574" spans="1:11" s="4" customFormat="1" x14ac:dyDescent="0.25">
      <c r="A1574" s="41"/>
      <c r="B1574" s="44"/>
      <c r="C1574" s="12" t="s">
        <v>25</v>
      </c>
      <c r="D1574" s="17">
        <v>0</v>
      </c>
      <c r="E1574" s="12" t="s">
        <v>25</v>
      </c>
      <c r="F1574" s="17">
        <v>0</v>
      </c>
      <c r="G1574" s="12" t="s">
        <v>25</v>
      </c>
      <c r="H1574" s="17">
        <v>0</v>
      </c>
      <c r="I1574" s="29"/>
      <c r="J1574" s="28"/>
      <c r="K1574" s="29"/>
    </row>
    <row r="1575" spans="1:11" s="4" customFormat="1" x14ac:dyDescent="0.25">
      <c r="A1575" s="39" t="s">
        <v>517</v>
      </c>
      <c r="B1575" s="42" t="s">
        <v>518</v>
      </c>
      <c r="C1575" s="9" t="s">
        <v>28</v>
      </c>
      <c r="D1575" s="17">
        <f>D1577+D1578+D1579+D1580</f>
        <v>159.19999999999999</v>
      </c>
      <c r="E1575" s="9" t="s">
        <v>28</v>
      </c>
      <c r="F1575" s="17">
        <f>F1577+F1578+F1579+F1580</f>
        <v>0</v>
      </c>
      <c r="G1575" s="9" t="s">
        <v>28</v>
      </c>
      <c r="H1575" s="17">
        <f>H1577+H1578+H1579+H1580</f>
        <v>0</v>
      </c>
      <c r="I1575" s="27" t="s">
        <v>501</v>
      </c>
      <c r="J1575" s="28"/>
      <c r="K1575" s="27" t="s">
        <v>214</v>
      </c>
    </row>
    <row r="1576" spans="1:11" s="4" customFormat="1" x14ac:dyDescent="0.25">
      <c r="A1576" s="40"/>
      <c r="B1576" s="43"/>
      <c r="C1576" s="9" t="s">
        <v>21</v>
      </c>
      <c r="D1576" s="17"/>
      <c r="E1576" s="9" t="s">
        <v>21</v>
      </c>
      <c r="F1576" s="17"/>
      <c r="G1576" s="9" t="s">
        <v>21</v>
      </c>
      <c r="H1576" s="17"/>
      <c r="I1576" s="28"/>
      <c r="J1576" s="28"/>
      <c r="K1576" s="28"/>
    </row>
    <row r="1577" spans="1:11" s="4" customFormat="1" x14ac:dyDescent="0.25">
      <c r="A1577" s="40"/>
      <c r="B1577" s="43"/>
      <c r="C1577" s="12" t="s">
        <v>22</v>
      </c>
      <c r="D1577" s="17">
        <v>0</v>
      </c>
      <c r="E1577" s="12" t="s">
        <v>22</v>
      </c>
      <c r="F1577" s="17">
        <v>0</v>
      </c>
      <c r="G1577" s="12" t="s">
        <v>22</v>
      </c>
      <c r="H1577" s="17">
        <v>0</v>
      </c>
      <c r="I1577" s="28"/>
      <c r="J1577" s="28"/>
      <c r="K1577" s="28"/>
    </row>
    <row r="1578" spans="1:11" s="4" customFormat="1" x14ac:dyDescent="0.25">
      <c r="A1578" s="40"/>
      <c r="B1578" s="43"/>
      <c r="C1578" s="12" t="s">
        <v>23</v>
      </c>
      <c r="D1578" s="17">
        <v>0</v>
      </c>
      <c r="E1578" s="12" t="s">
        <v>23</v>
      </c>
      <c r="F1578" s="17">
        <v>0</v>
      </c>
      <c r="G1578" s="12" t="s">
        <v>23</v>
      </c>
      <c r="H1578" s="17">
        <v>0</v>
      </c>
      <c r="I1578" s="28"/>
      <c r="J1578" s="28"/>
      <c r="K1578" s="28"/>
    </row>
    <row r="1579" spans="1:11" s="4" customFormat="1" x14ac:dyDescent="0.25">
      <c r="A1579" s="40"/>
      <c r="B1579" s="43"/>
      <c r="C1579" s="12" t="s">
        <v>24</v>
      </c>
      <c r="D1579" s="17">
        <f>159200/1000</f>
        <v>159.19999999999999</v>
      </c>
      <c r="E1579" s="12" t="s">
        <v>24</v>
      </c>
      <c r="F1579" s="17">
        <v>0</v>
      </c>
      <c r="G1579" s="12" t="s">
        <v>24</v>
      </c>
      <c r="H1579" s="17">
        <v>0</v>
      </c>
      <c r="I1579" s="28"/>
      <c r="J1579" s="28"/>
      <c r="K1579" s="28"/>
    </row>
    <row r="1580" spans="1:11" s="4" customFormat="1" x14ac:dyDescent="0.25">
      <c r="A1580" s="41"/>
      <c r="B1580" s="44"/>
      <c r="C1580" s="12" t="s">
        <v>25</v>
      </c>
      <c r="D1580" s="17">
        <v>0</v>
      </c>
      <c r="E1580" s="12" t="s">
        <v>25</v>
      </c>
      <c r="F1580" s="17">
        <v>0</v>
      </c>
      <c r="G1580" s="12" t="s">
        <v>25</v>
      </c>
      <c r="H1580" s="17">
        <v>0</v>
      </c>
      <c r="I1580" s="29"/>
      <c r="J1580" s="28"/>
      <c r="K1580" s="29"/>
    </row>
    <row r="1581" spans="1:11" s="4" customFormat="1" x14ac:dyDescent="0.25">
      <c r="A1581" s="39" t="s">
        <v>519</v>
      </c>
      <c r="B1581" s="42" t="s">
        <v>520</v>
      </c>
      <c r="C1581" s="9" t="s">
        <v>28</v>
      </c>
      <c r="D1581" s="17">
        <f>D1583+D1584+D1585+D1586</f>
        <v>458.95774999999998</v>
      </c>
      <c r="E1581" s="9" t="s">
        <v>28</v>
      </c>
      <c r="F1581" s="17">
        <f>F1583+F1584+F1585+F1586</f>
        <v>0</v>
      </c>
      <c r="G1581" s="9" t="s">
        <v>28</v>
      </c>
      <c r="H1581" s="17">
        <f>H1583+H1584+H1585+H1586</f>
        <v>0</v>
      </c>
      <c r="I1581" s="27" t="s">
        <v>501</v>
      </c>
      <c r="J1581" s="28"/>
      <c r="K1581" s="27" t="s">
        <v>214</v>
      </c>
    </row>
    <row r="1582" spans="1:11" s="4" customFormat="1" x14ac:dyDescent="0.25">
      <c r="A1582" s="40"/>
      <c r="B1582" s="43"/>
      <c r="C1582" s="9" t="s">
        <v>21</v>
      </c>
      <c r="D1582" s="17"/>
      <c r="E1582" s="9" t="s">
        <v>21</v>
      </c>
      <c r="F1582" s="17"/>
      <c r="G1582" s="9" t="s">
        <v>21</v>
      </c>
      <c r="H1582" s="17"/>
      <c r="I1582" s="28"/>
      <c r="J1582" s="28"/>
      <c r="K1582" s="28"/>
    </row>
    <row r="1583" spans="1:11" s="4" customFormat="1" x14ac:dyDescent="0.25">
      <c r="A1583" s="40"/>
      <c r="B1583" s="43"/>
      <c r="C1583" s="12" t="s">
        <v>22</v>
      </c>
      <c r="D1583" s="17">
        <v>0</v>
      </c>
      <c r="E1583" s="12" t="s">
        <v>22</v>
      </c>
      <c r="F1583" s="17">
        <v>0</v>
      </c>
      <c r="G1583" s="12" t="s">
        <v>22</v>
      </c>
      <c r="H1583" s="17">
        <v>0</v>
      </c>
      <c r="I1583" s="28"/>
      <c r="J1583" s="28"/>
      <c r="K1583" s="28"/>
    </row>
    <row r="1584" spans="1:11" s="4" customFormat="1" x14ac:dyDescent="0.25">
      <c r="A1584" s="40"/>
      <c r="B1584" s="43"/>
      <c r="C1584" s="12" t="s">
        <v>23</v>
      </c>
      <c r="D1584" s="17">
        <v>0</v>
      </c>
      <c r="E1584" s="12" t="s">
        <v>23</v>
      </c>
      <c r="F1584" s="17">
        <v>0</v>
      </c>
      <c r="G1584" s="12" t="s">
        <v>23</v>
      </c>
      <c r="H1584" s="17">
        <v>0</v>
      </c>
      <c r="I1584" s="28"/>
      <c r="J1584" s="28"/>
      <c r="K1584" s="28"/>
    </row>
    <row r="1585" spans="1:11" s="4" customFormat="1" x14ac:dyDescent="0.25">
      <c r="A1585" s="40"/>
      <c r="B1585" s="43"/>
      <c r="C1585" s="12" t="s">
        <v>24</v>
      </c>
      <c r="D1585" s="17">
        <f>458957.75/1000</f>
        <v>458.95774999999998</v>
      </c>
      <c r="E1585" s="12" t="s">
        <v>24</v>
      </c>
      <c r="F1585" s="17">
        <v>0</v>
      </c>
      <c r="G1585" s="12" t="s">
        <v>24</v>
      </c>
      <c r="H1585" s="17">
        <v>0</v>
      </c>
      <c r="I1585" s="28"/>
      <c r="J1585" s="28"/>
      <c r="K1585" s="28"/>
    </row>
    <row r="1586" spans="1:11" s="4" customFormat="1" x14ac:dyDescent="0.25">
      <c r="A1586" s="41"/>
      <c r="B1586" s="44"/>
      <c r="C1586" s="12" t="s">
        <v>25</v>
      </c>
      <c r="D1586" s="17">
        <v>0</v>
      </c>
      <c r="E1586" s="12" t="s">
        <v>25</v>
      </c>
      <c r="F1586" s="17">
        <v>0</v>
      </c>
      <c r="G1586" s="12" t="s">
        <v>25</v>
      </c>
      <c r="H1586" s="17">
        <v>0</v>
      </c>
      <c r="I1586" s="29"/>
      <c r="J1586" s="28"/>
      <c r="K1586" s="29"/>
    </row>
    <row r="1587" spans="1:11" s="4" customFormat="1" x14ac:dyDescent="0.25">
      <c r="A1587" s="39" t="s">
        <v>521</v>
      </c>
      <c r="B1587" s="42" t="s">
        <v>522</v>
      </c>
      <c r="C1587" s="9" t="s">
        <v>28</v>
      </c>
      <c r="D1587" s="17">
        <f>D1589+D1590+D1591+D1592</f>
        <v>594.904</v>
      </c>
      <c r="E1587" s="9" t="s">
        <v>28</v>
      </c>
      <c r="F1587" s="17">
        <f>F1589+F1590+F1591+F1592</f>
        <v>0</v>
      </c>
      <c r="G1587" s="9" t="s">
        <v>28</v>
      </c>
      <c r="H1587" s="17">
        <f>H1589+H1590+H1591+H1592</f>
        <v>0</v>
      </c>
      <c r="I1587" s="27" t="s">
        <v>501</v>
      </c>
      <c r="J1587" s="28"/>
      <c r="K1587" s="27" t="s">
        <v>214</v>
      </c>
    </row>
    <row r="1588" spans="1:11" s="4" customFormat="1" x14ac:dyDescent="0.25">
      <c r="A1588" s="40"/>
      <c r="B1588" s="43"/>
      <c r="C1588" s="9" t="s">
        <v>21</v>
      </c>
      <c r="D1588" s="17"/>
      <c r="E1588" s="9" t="s">
        <v>21</v>
      </c>
      <c r="F1588" s="17"/>
      <c r="G1588" s="9" t="s">
        <v>21</v>
      </c>
      <c r="H1588" s="17"/>
      <c r="I1588" s="28"/>
      <c r="J1588" s="28"/>
      <c r="K1588" s="28"/>
    </row>
    <row r="1589" spans="1:11" s="4" customFormat="1" x14ac:dyDescent="0.25">
      <c r="A1589" s="40"/>
      <c r="B1589" s="43"/>
      <c r="C1589" s="12" t="s">
        <v>22</v>
      </c>
      <c r="D1589" s="17">
        <v>0</v>
      </c>
      <c r="E1589" s="12" t="s">
        <v>22</v>
      </c>
      <c r="F1589" s="17">
        <v>0</v>
      </c>
      <c r="G1589" s="12" t="s">
        <v>22</v>
      </c>
      <c r="H1589" s="17">
        <v>0</v>
      </c>
      <c r="I1589" s="28"/>
      <c r="J1589" s="28"/>
      <c r="K1589" s="28"/>
    </row>
    <row r="1590" spans="1:11" s="4" customFormat="1" x14ac:dyDescent="0.25">
      <c r="A1590" s="40"/>
      <c r="B1590" s="43"/>
      <c r="C1590" s="12" t="s">
        <v>23</v>
      </c>
      <c r="D1590" s="17">
        <v>0</v>
      </c>
      <c r="E1590" s="12" t="s">
        <v>23</v>
      </c>
      <c r="F1590" s="17">
        <v>0</v>
      </c>
      <c r="G1590" s="12" t="s">
        <v>23</v>
      </c>
      <c r="H1590" s="17">
        <v>0</v>
      </c>
      <c r="I1590" s="28"/>
      <c r="J1590" s="28"/>
      <c r="K1590" s="28"/>
    </row>
    <row r="1591" spans="1:11" s="4" customFormat="1" x14ac:dyDescent="0.25">
      <c r="A1591" s="40"/>
      <c r="B1591" s="43"/>
      <c r="C1591" s="12" t="s">
        <v>24</v>
      </c>
      <c r="D1591" s="17">
        <f>594904/1000</f>
        <v>594.904</v>
      </c>
      <c r="E1591" s="12" t="s">
        <v>24</v>
      </c>
      <c r="F1591" s="17">
        <v>0</v>
      </c>
      <c r="G1591" s="12" t="s">
        <v>24</v>
      </c>
      <c r="H1591" s="17">
        <v>0</v>
      </c>
      <c r="I1591" s="28"/>
      <c r="J1591" s="28"/>
      <c r="K1591" s="28"/>
    </row>
    <row r="1592" spans="1:11" s="4" customFormat="1" x14ac:dyDescent="0.25">
      <c r="A1592" s="41"/>
      <c r="B1592" s="44"/>
      <c r="C1592" s="12" t="s">
        <v>25</v>
      </c>
      <c r="D1592" s="17">
        <v>0</v>
      </c>
      <c r="E1592" s="12" t="s">
        <v>25</v>
      </c>
      <c r="F1592" s="17">
        <v>0</v>
      </c>
      <c r="G1592" s="12" t="s">
        <v>25</v>
      </c>
      <c r="H1592" s="17">
        <v>0</v>
      </c>
      <c r="I1592" s="29"/>
      <c r="J1592" s="28"/>
      <c r="K1592" s="29"/>
    </row>
    <row r="1593" spans="1:11" s="4" customFormat="1" x14ac:dyDescent="0.25">
      <c r="A1593" s="39" t="s">
        <v>523</v>
      </c>
      <c r="B1593" s="42" t="s">
        <v>524</v>
      </c>
      <c r="C1593" s="9" t="s">
        <v>28</v>
      </c>
      <c r="D1593" s="17">
        <f>D1595+D1596+D1597+D1598</f>
        <v>382.29389000000003</v>
      </c>
      <c r="E1593" s="9" t="s">
        <v>28</v>
      </c>
      <c r="F1593" s="17">
        <f>F1595+F1596+F1597+F1598</f>
        <v>0</v>
      </c>
      <c r="G1593" s="9" t="s">
        <v>28</v>
      </c>
      <c r="H1593" s="17">
        <f>H1595+H1596+H1597+H1598</f>
        <v>0</v>
      </c>
      <c r="I1593" s="27" t="s">
        <v>501</v>
      </c>
      <c r="J1593" s="28"/>
      <c r="K1593" s="27" t="s">
        <v>214</v>
      </c>
    </row>
    <row r="1594" spans="1:11" s="4" customFormat="1" x14ac:dyDescent="0.25">
      <c r="A1594" s="40"/>
      <c r="B1594" s="43"/>
      <c r="C1594" s="9" t="s">
        <v>21</v>
      </c>
      <c r="D1594" s="17"/>
      <c r="E1594" s="9" t="s">
        <v>21</v>
      </c>
      <c r="F1594" s="17"/>
      <c r="G1594" s="9" t="s">
        <v>21</v>
      </c>
      <c r="H1594" s="17"/>
      <c r="I1594" s="28"/>
      <c r="J1594" s="28"/>
      <c r="K1594" s="28"/>
    </row>
    <row r="1595" spans="1:11" s="4" customFormat="1" x14ac:dyDescent="0.25">
      <c r="A1595" s="40"/>
      <c r="B1595" s="43"/>
      <c r="C1595" s="12" t="s">
        <v>22</v>
      </c>
      <c r="D1595" s="17">
        <v>0</v>
      </c>
      <c r="E1595" s="12" t="s">
        <v>22</v>
      </c>
      <c r="F1595" s="17">
        <v>0</v>
      </c>
      <c r="G1595" s="12" t="s">
        <v>22</v>
      </c>
      <c r="H1595" s="17">
        <v>0</v>
      </c>
      <c r="I1595" s="28"/>
      <c r="J1595" s="28"/>
      <c r="K1595" s="28"/>
    </row>
    <row r="1596" spans="1:11" s="4" customFormat="1" x14ac:dyDescent="0.25">
      <c r="A1596" s="40"/>
      <c r="B1596" s="43"/>
      <c r="C1596" s="12" t="s">
        <v>23</v>
      </c>
      <c r="D1596" s="17">
        <v>0</v>
      </c>
      <c r="E1596" s="12" t="s">
        <v>23</v>
      </c>
      <c r="F1596" s="17">
        <v>0</v>
      </c>
      <c r="G1596" s="12" t="s">
        <v>23</v>
      </c>
      <c r="H1596" s="17">
        <v>0</v>
      </c>
      <c r="I1596" s="28"/>
      <c r="J1596" s="28"/>
      <c r="K1596" s="28"/>
    </row>
    <row r="1597" spans="1:11" s="4" customFormat="1" x14ac:dyDescent="0.25">
      <c r="A1597" s="40"/>
      <c r="B1597" s="43"/>
      <c r="C1597" s="12" t="s">
        <v>24</v>
      </c>
      <c r="D1597" s="17">
        <f>382293.89/1000</f>
        <v>382.29389000000003</v>
      </c>
      <c r="E1597" s="12" t="s">
        <v>24</v>
      </c>
      <c r="F1597" s="17">
        <v>0</v>
      </c>
      <c r="G1597" s="12" t="s">
        <v>24</v>
      </c>
      <c r="H1597" s="17">
        <v>0</v>
      </c>
      <c r="I1597" s="28"/>
      <c r="J1597" s="28"/>
      <c r="K1597" s="28"/>
    </row>
    <row r="1598" spans="1:11" s="4" customFormat="1" x14ac:dyDescent="0.25">
      <c r="A1598" s="41"/>
      <c r="B1598" s="44"/>
      <c r="C1598" s="12" t="s">
        <v>25</v>
      </c>
      <c r="D1598" s="17">
        <v>0</v>
      </c>
      <c r="E1598" s="12" t="s">
        <v>25</v>
      </c>
      <c r="F1598" s="17">
        <v>0</v>
      </c>
      <c r="G1598" s="12" t="s">
        <v>25</v>
      </c>
      <c r="H1598" s="17">
        <v>0</v>
      </c>
      <c r="I1598" s="29"/>
      <c r="J1598" s="28"/>
      <c r="K1598" s="29"/>
    </row>
    <row r="1599" spans="1:11" s="4" customFormat="1" x14ac:dyDescent="0.25">
      <c r="A1599" s="39" t="s">
        <v>525</v>
      </c>
      <c r="B1599" s="42" t="s">
        <v>526</v>
      </c>
      <c r="C1599" s="9" t="s">
        <v>28</v>
      </c>
      <c r="D1599" s="17">
        <f>D1601+D1602+D1603+D1604</f>
        <v>673.03668999999991</v>
      </c>
      <c r="E1599" s="9" t="s">
        <v>28</v>
      </c>
      <c r="F1599" s="17">
        <f>F1601+F1602+F1603+F1604</f>
        <v>0</v>
      </c>
      <c r="G1599" s="9" t="s">
        <v>28</v>
      </c>
      <c r="H1599" s="17">
        <f>H1601+H1602+H1603+H1604</f>
        <v>0</v>
      </c>
      <c r="I1599" s="27" t="s">
        <v>501</v>
      </c>
      <c r="J1599" s="28"/>
      <c r="K1599" s="27" t="s">
        <v>214</v>
      </c>
    </row>
    <row r="1600" spans="1:11" s="4" customFormat="1" x14ac:dyDescent="0.25">
      <c r="A1600" s="40"/>
      <c r="B1600" s="43"/>
      <c r="C1600" s="9" t="s">
        <v>21</v>
      </c>
      <c r="D1600" s="17"/>
      <c r="E1600" s="9" t="s">
        <v>21</v>
      </c>
      <c r="F1600" s="17"/>
      <c r="G1600" s="9" t="s">
        <v>21</v>
      </c>
      <c r="H1600" s="17"/>
      <c r="I1600" s="28"/>
      <c r="J1600" s="28"/>
      <c r="K1600" s="28"/>
    </row>
    <row r="1601" spans="1:11" s="4" customFormat="1" x14ac:dyDescent="0.25">
      <c r="A1601" s="40"/>
      <c r="B1601" s="43"/>
      <c r="C1601" s="12" t="s">
        <v>22</v>
      </c>
      <c r="D1601" s="17">
        <v>0</v>
      </c>
      <c r="E1601" s="12" t="s">
        <v>22</v>
      </c>
      <c r="F1601" s="17">
        <v>0</v>
      </c>
      <c r="G1601" s="12" t="s">
        <v>22</v>
      </c>
      <c r="H1601" s="17">
        <v>0</v>
      </c>
      <c r="I1601" s="28"/>
      <c r="J1601" s="28"/>
      <c r="K1601" s="28"/>
    </row>
    <row r="1602" spans="1:11" s="4" customFormat="1" x14ac:dyDescent="0.25">
      <c r="A1602" s="40"/>
      <c r="B1602" s="43"/>
      <c r="C1602" s="12" t="s">
        <v>23</v>
      </c>
      <c r="D1602" s="17">
        <v>0</v>
      </c>
      <c r="E1602" s="12" t="s">
        <v>23</v>
      </c>
      <c r="F1602" s="17">
        <v>0</v>
      </c>
      <c r="G1602" s="12" t="s">
        <v>23</v>
      </c>
      <c r="H1602" s="17">
        <v>0</v>
      </c>
      <c r="I1602" s="28"/>
      <c r="J1602" s="28"/>
      <c r="K1602" s="28"/>
    </row>
    <row r="1603" spans="1:11" s="4" customFormat="1" x14ac:dyDescent="0.25">
      <c r="A1603" s="40"/>
      <c r="B1603" s="43"/>
      <c r="C1603" s="12" t="s">
        <v>24</v>
      </c>
      <c r="D1603" s="17">
        <f>673036.69/1000</f>
        <v>673.03668999999991</v>
      </c>
      <c r="E1603" s="12" t="s">
        <v>24</v>
      </c>
      <c r="F1603" s="17">
        <v>0</v>
      </c>
      <c r="G1603" s="12" t="s">
        <v>24</v>
      </c>
      <c r="H1603" s="17">
        <v>0</v>
      </c>
      <c r="I1603" s="28"/>
      <c r="J1603" s="28"/>
      <c r="K1603" s="28"/>
    </row>
    <row r="1604" spans="1:11" s="4" customFormat="1" x14ac:dyDescent="0.25">
      <c r="A1604" s="41"/>
      <c r="B1604" s="44"/>
      <c r="C1604" s="12" t="s">
        <v>25</v>
      </c>
      <c r="D1604" s="17">
        <v>0</v>
      </c>
      <c r="E1604" s="12" t="s">
        <v>25</v>
      </c>
      <c r="F1604" s="17">
        <v>0</v>
      </c>
      <c r="G1604" s="12" t="s">
        <v>25</v>
      </c>
      <c r="H1604" s="17">
        <v>0</v>
      </c>
      <c r="I1604" s="29"/>
      <c r="J1604" s="28"/>
      <c r="K1604" s="29"/>
    </row>
    <row r="1605" spans="1:11" s="4" customFormat="1" x14ac:dyDescent="0.25">
      <c r="A1605" s="39" t="s">
        <v>527</v>
      </c>
      <c r="B1605" s="42" t="s">
        <v>528</v>
      </c>
      <c r="C1605" s="9" t="s">
        <v>28</v>
      </c>
      <c r="D1605" s="17">
        <f>D1607+D1608+D1609+D1610</f>
        <v>640.35692000000006</v>
      </c>
      <c r="E1605" s="9" t="s">
        <v>28</v>
      </c>
      <c r="F1605" s="17">
        <f>F1607+F1608+F1609+F1610</f>
        <v>0</v>
      </c>
      <c r="G1605" s="9" t="s">
        <v>28</v>
      </c>
      <c r="H1605" s="17">
        <f>H1607+H1608+H1609+H1610</f>
        <v>0</v>
      </c>
      <c r="I1605" s="27" t="s">
        <v>501</v>
      </c>
      <c r="J1605" s="28"/>
      <c r="K1605" s="27" t="s">
        <v>214</v>
      </c>
    </row>
    <row r="1606" spans="1:11" s="4" customFormat="1" x14ac:dyDescent="0.25">
      <c r="A1606" s="40"/>
      <c r="B1606" s="43"/>
      <c r="C1606" s="9" t="s">
        <v>21</v>
      </c>
      <c r="D1606" s="17"/>
      <c r="E1606" s="9" t="s">
        <v>21</v>
      </c>
      <c r="F1606" s="17"/>
      <c r="G1606" s="9" t="s">
        <v>21</v>
      </c>
      <c r="H1606" s="17"/>
      <c r="I1606" s="28"/>
      <c r="J1606" s="28"/>
      <c r="K1606" s="28"/>
    </row>
    <row r="1607" spans="1:11" s="4" customFormat="1" x14ac:dyDescent="0.25">
      <c r="A1607" s="40"/>
      <c r="B1607" s="43"/>
      <c r="C1607" s="12" t="s">
        <v>22</v>
      </c>
      <c r="D1607" s="17">
        <v>0</v>
      </c>
      <c r="E1607" s="12" t="s">
        <v>22</v>
      </c>
      <c r="F1607" s="17">
        <v>0</v>
      </c>
      <c r="G1607" s="12" t="s">
        <v>22</v>
      </c>
      <c r="H1607" s="17">
        <v>0</v>
      </c>
      <c r="I1607" s="28"/>
      <c r="J1607" s="28"/>
      <c r="K1607" s="28"/>
    </row>
    <row r="1608" spans="1:11" s="4" customFormat="1" x14ac:dyDescent="0.25">
      <c r="A1608" s="40"/>
      <c r="B1608" s="43"/>
      <c r="C1608" s="12" t="s">
        <v>23</v>
      </c>
      <c r="D1608" s="17">
        <v>0</v>
      </c>
      <c r="E1608" s="12" t="s">
        <v>23</v>
      </c>
      <c r="F1608" s="17">
        <v>0</v>
      </c>
      <c r="G1608" s="12" t="s">
        <v>23</v>
      </c>
      <c r="H1608" s="17">
        <v>0</v>
      </c>
      <c r="I1608" s="28"/>
      <c r="J1608" s="28"/>
      <c r="K1608" s="28"/>
    </row>
    <row r="1609" spans="1:11" s="4" customFormat="1" x14ac:dyDescent="0.25">
      <c r="A1609" s="40"/>
      <c r="B1609" s="43"/>
      <c r="C1609" s="12" t="s">
        <v>24</v>
      </c>
      <c r="D1609" s="17">
        <f>640356.92/1000</f>
        <v>640.35692000000006</v>
      </c>
      <c r="E1609" s="12" t="s">
        <v>24</v>
      </c>
      <c r="F1609" s="17">
        <v>0</v>
      </c>
      <c r="G1609" s="12" t="s">
        <v>24</v>
      </c>
      <c r="H1609" s="17">
        <v>0</v>
      </c>
      <c r="I1609" s="28"/>
      <c r="J1609" s="28"/>
      <c r="K1609" s="28"/>
    </row>
    <row r="1610" spans="1:11" s="4" customFormat="1" x14ac:dyDescent="0.25">
      <c r="A1610" s="41"/>
      <c r="B1610" s="44"/>
      <c r="C1610" s="12" t="s">
        <v>25</v>
      </c>
      <c r="D1610" s="17">
        <v>0</v>
      </c>
      <c r="E1610" s="12" t="s">
        <v>25</v>
      </c>
      <c r="F1610" s="17">
        <v>0</v>
      </c>
      <c r="G1610" s="12" t="s">
        <v>25</v>
      </c>
      <c r="H1610" s="17">
        <v>0</v>
      </c>
      <c r="I1610" s="29"/>
      <c r="J1610" s="28"/>
      <c r="K1610" s="29"/>
    </row>
    <row r="1611" spans="1:11" s="4" customFormat="1" x14ac:dyDescent="0.25">
      <c r="A1611" s="39" t="s">
        <v>529</v>
      </c>
      <c r="B1611" s="42" t="s">
        <v>530</v>
      </c>
      <c r="C1611" s="9" t="s">
        <v>28</v>
      </c>
      <c r="D1611" s="17">
        <f>D1613+D1614+D1615+D1616</f>
        <v>204.11699999999999</v>
      </c>
      <c r="E1611" s="9" t="s">
        <v>28</v>
      </c>
      <c r="F1611" s="17">
        <f>F1613+F1614+F1615+F1616</f>
        <v>0</v>
      </c>
      <c r="G1611" s="9" t="s">
        <v>28</v>
      </c>
      <c r="H1611" s="17">
        <f>H1613+H1614+H1615+H1616</f>
        <v>0</v>
      </c>
      <c r="I1611" s="27" t="s">
        <v>501</v>
      </c>
      <c r="J1611" s="28"/>
      <c r="K1611" s="27" t="s">
        <v>214</v>
      </c>
    </row>
    <row r="1612" spans="1:11" s="4" customFormat="1" x14ac:dyDescent="0.25">
      <c r="A1612" s="40"/>
      <c r="B1612" s="43"/>
      <c r="C1612" s="9" t="s">
        <v>21</v>
      </c>
      <c r="D1612" s="17"/>
      <c r="E1612" s="9" t="s">
        <v>21</v>
      </c>
      <c r="F1612" s="17"/>
      <c r="G1612" s="9" t="s">
        <v>21</v>
      </c>
      <c r="H1612" s="17"/>
      <c r="I1612" s="28"/>
      <c r="J1612" s="28"/>
      <c r="K1612" s="28"/>
    </row>
    <row r="1613" spans="1:11" s="4" customFormat="1" x14ac:dyDescent="0.25">
      <c r="A1613" s="40"/>
      <c r="B1613" s="43"/>
      <c r="C1613" s="12" t="s">
        <v>22</v>
      </c>
      <c r="D1613" s="17">
        <v>0</v>
      </c>
      <c r="E1613" s="12" t="s">
        <v>22</v>
      </c>
      <c r="F1613" s="17">
        <v>0</v>
      </c>
      <c r="G1613" s="12" t="s">
        <v>22</v>
      </c>
      <c r="H1613" s="17">
        <v>0</v>
      </c>
      <c r="I1613" s="28"/>
      <c r="J1613" s="28"/>
      <c r="K1613" s="28"/>
    </row>
    <row r="1614" spans="1:11" s="4" customFormat="1" x14ac:dyDescent="0.25">
      <c r="A1614" s="40"/>
      <c r="B1614" s="43"/>
      <c r="C1614" s="12" t="s">
        <v>23</v>
      </c>
      <c r="D1614" s="17">
        <v>0</v>
      </c>
      <c r="E1614" s="12" t="s">
        <v>23</v>
      </c>
      <c r="F1614" s="17">
        <v>0</v>
      </c>
      <c r="G1614" s="12" t="s">
        <v>23</v>
      </c>
      <c r="H1614" s="17">
        <v>0</v>
      </c>
      <c r="I1614" s="28"/>
      <c r="J1614" s="28"/>
      <c r="K1614" s="28"/>
    </row>
    <row r="1615" spans="1:11" s="4" customFormat="1" x14ac:dyDescent="0.25">
      <c r="A1615" s="40"/>
      <c r="B1615" s="43"/>
      <c r="C1615" s="12" t="s">
        <v>24</v>
      </c>
      <c r="D1615" s="17">
        <f>204117/1000</f>
        <v>204.11699999999999</v>
      </c>
      <c r="E1615" s="12" t="s">
        <v>24</v>
      </c>
      <c r="F1615" s="17">
        <v>0</v>
      </c>
      <c r="G1615" s="12" t="s">
        <v>24</v>
      </c>
      <c r="H1615" s="17">
        <v>0</v>
      </c>
      <c r="I1615" s="28"/>
      <c r="J1615" s="28"/>
      <c r="K1615" s="28"/>
    </row>
    <row r="1616" spans="1:11" s="4" customFormat="1" x14ac:dyDescent="0.25">
      <c r="A1616" s="41"/>
      <c r="B1616" s="44"/>
      <c r="C1616" s="12" t="s">
        <v>25</v>
      </c>
      <c r="D1616" s="17">
        <v>0</v>
      </c>
      <c r="E1616" s="12" t="s">
        <v>25</v>
      </c>
      <c r="F1616" s="17">
        <v>0</v>
      </c>
      <c r="G1616" s="12" t="s">
        <v>25</v>
      </c>
      <c r="H1616" s="17">
        <v>0</v>
      </c>
      <c r="I1616" s="29"/>
      <c r="J1616" s="28"/>
      <c r="K1616" s="29"/>
    </row>
    <row r="1617" spans="1:11" s="4" customFormat="1" x14ac:dyDescent="0.25">
      <c r="A1617" s="39" t="s">
        <v>531</v>
      </c>
      <c r="B1617" s="42" t="s">
        <v>532</v>
      </c>
      <c r="C1617" s="9" t="s">
        <v>28</v>
      </c>
      <c r="D1617" s="17">
        <f>D1619+D1620+D1621+D1622</f>
        <v>172.73</v>
      </c>
      <c r="E1617" s="9" t="s">
        <v>28</v>
      </c>
      <c r="F1617" s="17">
        <f>F1619+F1620+F1621+F1622</f>
        <v>0</v>
      </c>
      <c r="G1617" s="9" t="s">
        <v>28</v>
      </c>
      <c r="H1617" s="17">
        <f>H1619+H1620+H1621+H1622</f>
        <v>0</v>
      </c>
      <c r="I1617" s="27" t="s">
        <v>501</v>
      </c>
      <c r="J1617" s="28"/>
      <c r="K1617" s="27" t="s">
        <v>214</v>
      </c>
    </row>
    <row r="1618" spans="1:11" s="4" customFormat="1" x14ac:dyDescent="0.25">
      <c r="A1618" s="40"/>
      <c r="B1618" s="43"/>
      <c r="C1618" s="9" t="s">
        <v>21</v>
      </c>
      <c r="D1618" s="17"/>
      <c r="E1618" s="9" t="s">
        <v>21</v>
      </c>
      <c r="F1618" s="17"/>
      <c r="G1618" s="9" t="s">
        <v>21</v>
      </c>
      <c r="H1618" s="17"/>
      <c r="I1618" s="28"/>
      <c r="J1618" s="28"/>
      <c r="K1618" s="28"/>
    </row>
    <row r="1619" spans="1:11" s="4" customFormat="1" x14ac:dyDescent="0.25">
      <c r="A1619" s="40"/>
      <c r="B1619" s="43"/>
      <c r="C1619" s="12" t="s">
        <v>22</v>
      </c>
      <c r="D1619" s="17">
        <v>0</v>
      </c>
      <c r="E1619" s="12" t="s">
        <v>22</v>
      </c>
      <c r="F1619" s="17">
        <v>0</v>
      </c>
      <c r="G1619" s="12" t="s">
        <v>22</v>
      </c>
      <c r="H1619" s="17">
        <v>0</v>
      </c>
      <c r="I1619" s="28"/>
      <c r="J1619" s="28"/>
      <c r="K1619" s="28"/>
    </row>
    <row r="1620" spans="1:11" s="4" customFormat="1" x14ac:dyDescent="0.25">
      <c r="A1620" s="40"/>
      <c r="B1620" s="43"/>
      <c r="C1620" s="12" t="s">
        <v>23</v>
      </c>
      <c r="D1620" s="17">
        <v>0</v>
      </c>
      <c r="E1620" s="12" t="s">
        <v>23</v>
      </c>
      <c r="F1620" s="17">
        <v>0</v>
      </c>
      <c r="G1620" s="12" t="s">
        <v>23</v>
      </c>
      <c r="H1620" s="17">
        <v>0</v>
      </c>
      <c r="I1620" s="28"/>
      <c r="J1620" s="28"/>
      <c r="K1620" s="28"/>
    </row>
    <row r="1621" spans="1:11" s="4" customFormat="1" x14ac:dyDescent="0.25">
      <c r="A1621" s="40"/>
      <c r="B1621" s="43"/>
      <c r="C1621" s="12" t="s">
        <v>24</v>
      </c>
      <c r="D1621" s="17">
        <f>172730/1000</f>
        <v>172.73</v>
      </c>
      <c r="E1621" s="12" t="s">
        <v>24</v>
      </c>
      <c r="F1621" s="17">
        <v>0</v>
      </c>
      <c r="G1621" s="12" t="s">
        <v>24</v>
      </c>
      <c r="H1621" s="17">
        <v>0</v>
      </c>
      <c r="I1621" s="28"/>
      <c r="J1621" s="28"/>
      <c r="K1621" s="28"/>
    </row>
    <row r="1622" spans="1:11" s="4" customFormat="1" x14ac:dyDescent="0.25">
      <c r="A1622" s="41"/>
      <c r="B1622" s="44"/>
      <c r="C1622" s="12" t="s">
        <v>25</v>
      </c>
      <c r="D1622" s="17">
        <v>0</v>
      </c>
      <c r="E1622" s="12" t="s">
        <v>25</v>
      </c>
      <c r="F1622" s="17">
        <v>0</v>
      </c>
      <c r="G1622" s="12" t="s">
        <v>25</v>
      </c>
      <c r="H1622" s="17">
        <v>0</v>
      </c>
      <c r="I1622" s="29"/>
      <c r="J1622" s="28"/>
      <c r="K1622" s="29"/>
    </row>
    <row r="1623" spans="1:11" s="4" customFormat="1" x14ac:dyDescent="0.25">
      <c r="A1623" s="39" t="s">
        <v>533</v>
      </c>
      <c r="B1623" s="42" t="s">
        <v>534</v>
      </c>
      <c r="C1623" s="9" t="s">
        <v>28</v>
      </c>
      <c r="D1623" s="17">
        <f>D1625+D1626+D1627+D1628</f>
        <v>173.01419000000001</v>
      </c>
      <c r="E1623" s="9" t="s">
        <v>28</v>
      </c>
      <c r="F1623" s="17">
        <f>F1625+F1626+F1627+F1628</f>
        <v>0</v>
      </c>
      <c r="G1623" s="9" t="s">
        <v>28</v>
      </c>
      <c r="H1623" s="17">
        <f>H1625+H1626+H1627+H1628</f>
        <v>0</v>
      </c>
      <c r="I1623" s="27" t="s">
        <v>501</v>
      </c>
      <c r="J1623" s="28"/>
      <c r="K1623" s="27" t="s">
        <v>214</v>
      </c>
    </row>
    <row r="1624" spans="1:11" s="4" customFormat="1" x14ac:dyDescent="0.25">
      <c r="A1624" s="40"/>
      <c r="B1624" s="43"/>
      <c r="C1624" s="9" t="s">
        <v>21</v>
      </c>
      <c r="D1624" s="17"/>
      <c r="E1624" s="9" t="s">
        <v>21</v>
      </c>
      <c r="F1624" s="17"/>
      <c r="G1624" s="9" t="s">
        <v>21</v>
      </c>
      <c r="H1624" s="17"/>
      <c r="I1624" s="28"/>
      <c r="J1624" s="28"/>
      <c r="K1624" s="28"/>
    </row>
    <row r="1625" spans="1:11" s="4" customFormat="1" x14ac:dyDescent="0.25">
      <c r="A1625" s="40"/>
      <c r="B1625" s="43"/>
      <c r="C1625" s="12" t="s">
        <v>22</v>
      </c>
      <c r="D1625" s="17">
        <v>0</v>
      </c>
      <c r="E1625" s="12" t="s">
        <v>22</v>
      </c>
      <c r="F1625" s="17">
        <v>0</v>
      </c>
      <c r="G1625" s="12" t="s">
        <v>22</v>
      </c>
      <c r="H1625" s="17">
        <v>0</v>
      </c>
      <c r="I1625" s="28"/>
      <c r="J1625" s="28"/>
      <c r="K1625" s="28"/>
    </row>
    <row r="1626" spans="1:11" s="4" customFormat="1" x14ac:dyDescent="0.25">
      <c r="A1626" s="40"/>
      <c r="B1626" s="43"/>
      <c r="C1626" s="12" t="s">
        <v>23</v>
      </c>
      <c r="D1626" s="17">
        <v>0</v>
      </c>
      <c r="E1626" s="12" t="s">
        <v>23</v>
      </c>
      <c r="F1626" s="17">
        <v>0</v>
      </c>
      <c r="G1626" s="12" t="s">
        <v>23</v>
      </c>
      <c r="H1626" s="17">
        <v>0</v>
      </c>
      <c r="I1626" s="28"/>
      <c r="J1626" s="28"/>
      <c r="K1626" s="28"/>
    </row>
    <row r="1627" spans="1:11" s="4" customFormat="1" x14ac:dyDescent="0.25">
      <c r="A1627" s="40"/>
      <c r="B1627" s="43"/>
      <c r="C1627" s="12" t="s">
        <v>24</v>
      </c>
      <c r="D1627" s="17">
        <f>173014.19/1000</f>
        <v>173.01419000000001</v>
      </c>
      <c r="E1627" s="12" t="s">
        <v>24</v>
      </c>
      <c r="F1627" s="17">
        <v>0</v>
      </c>
      <c r="G1627" s="12" t="s">
        <v>24</v>
      </c>
      <c r="H1627" s="17">
        <v>0</v>
      </c>
      <c r="I1627" s="28"/>
      <c r="J1627" s="28"/>
      <c r="K1627" s="28"/>
    </row>
    <row r="1628" spans="1:11" s="4" customFormat="1" x14ac:dyDescent="0.25">
      <c r="A1628" s="41"/>
      <c r="B1628" s="44"/>
      <c r="C1628" s="12" t="s">
        <v>25</v>
      </c>
      <c r="D1628" s="17">
        <v>0</v>
      </c>
      <c r="E1628" s="12" t="s">
        <v>25</v>
      </c>
      <c r="F1628" s="17">
        <v>0</v>
      </c>
      <c r="G1628" s="12" t="s">
        <v>25</v>
      </c>
      <c r="H1628" s="17">
        <v>0</v>
      </c>
      <c r="I1628" s="29"/>
      <c r="J1628" s="28"/>
      <c r="K1628" s="29"/>
    </row>
    <row r="1629" spans="1:11" s="4" customFormat="1" x14ac:dyDescent="0.25">
      <c r="A1629" s="39" t="s">
        <v>535</v>
      </c>
      <c r="B1629" s="42" t="s">
        <v>536</v>
      </c>
      <c r="C1629" s="9" t="s">
        <v>28</v>
      </c>
      <c r="D1629" s="17">
        <f>D1631+D1632+D1633+D1634</f>
        <v>45</v>
      </c>
      <c r="E1629" s="9" t="s">
        <v>28</v>
      </c>
      <c r="F1629" s="17">
        <f>F1631+F1632+F1633+F1634</f>
        <v>0</v>
      </c>
      <c r="G1629" s="9" t="s">
        <v>28</v>
      </c>
      <c r="H1629" s="17">
        <f>H1631+H1632+H1633+H1634</f>
        <v>0</v>
      </c>
      <c r="I1629" s="27" t="s">
        <v>501</v>
      </c>
      <c r="J1629" s="28"/>
      <c r="K1629" s="27" t="s">
        <v>214</v>
      </c>
    </row>
    <row r="1630" spans="1:11" s="4" customFormat="1" x14ac:dyDescent="0.25">
      <c r="A1630" s="40"/>
      <c r="B1630" s="43"/>
      <c r="C1630" s="9" t="s">
        <v>21</v>
      </c>
      <c r="D1630" s="17"/>
      <c r="E1630" s="9" t="s">
        <v>21</v>
      </c>
      <c r="F1630" s="17"/>
      <c r="G1630" s="9" t="s">
        <v>21</v>
      </c>
      <c r="H1630" s="17"/>
      <c r="I1630" s="28"/>
      <c r="J1630" s="28"/>
      <c r="K1630" s="28"/>
    </row>
    <row r="1631" spans="1:11" s="4" customFormat="1" x14ac:dyDescent="0.25">
      <c r="A1631" s="40"/>
      <c r="B1631" s="43"/>
      <c r="C1631" s="12" t="s">
        <v>22</v>
      </c>
      <c r="D1631" s="17">
        <v>0</v>
      </c>
      <c r="E1631" s="12" t="s">
        <v>22</v>
      </c>
      <c r="F1631" s="17">
        <v>0</v>
      </c>
      <c r="G1631" s="12" t="s">
        <v>22</v>
      </c>
      <c r="H1631" s="17">
        <v>0</v>
      </c>
      <c r="I1631" s="28"/>
      <c r="J1631" s="28"/>
      <c r="K1631" s="28"/>
    </row>
    <row r="1632" spans="1:11" s="4" customFormat="1" x14ac:dyDescent="0.25">
      <c r="A1632" s="40"/>
      <c r="B1632" s="43"/>
      <c r="C1632" s="12" t="s">
        <v>23</v>
      </c>
      <c r="D1632" s="17">
        <v>0</v>
      </c>
      <c r="E1632" s="12" t="s">
        <v>23</v>
      </c>
      <c r="F1632" s="17">
        <v>0</v>
      </c>
      <c r="G1632" s="12" t="s">
        <v>23</v>
      </c>
      <c r="H1632" s="17">
        <v>0</v>
      </c>
      <c r="I1632" s="28"/>
      <c r="J1632" s="28"/>
      <c r="K1632" s="28"/>
    </row>
    <row r="1633" spans="1:11" s="4" customFormat="1" x14ac:dyDescent="0.25">
      <c r="A1633" s="40"/>
      <c r="B1633" s="43"/>
      <c r="C1633" s="12" t="s">
        <v>24</v>
      </c>
      <c r="D1633" s="17">
        <f>45000/1000</f>
        <v>45</v>
      </c>
      <c r="E1633" s="12" t="s">
        <v>24</v>
      </c>
      <c r="F1633" s="17">
        <v>0</v>
      </c>
      <c r="G1633" s="12" t="s">
        <v>24</v>
      </c>
      <c r="H1633" s="17">
        <v>0</v>
      </c>
      <c r="I1633" s="28"/>
      <c r="J1633" s="28"/>
      <c r="K1633" s="28"/>
    </row>
    <row r="1634" spans="1:11" s="4" customFormat="1" x14ac:dyDescent="0.25">
      <c r="A1634" s="41"/>
      <c r="B1634" s="44"/>
      <c r="C1634" s="12" t="s">
        <v>25</v>
      </c>
      <c r="D1634" s="17">
        <v>0</v>
      </c>
      <c r="E1634" s="12" t="s">
        <v>25</v>
      </c>
      <c r="F1634" s="17">
        <v>0</v>
      </c>
      <c r="G1634" s="12" t="s">
        <v>25</v>
      </c>
      <c r="H1634" s="17">
        <v>0</v>
      </c>
      <c r="I1634" s="29"/>
      <c r="J1634" s="28"/>
      <c r="K1634" s="29"/>
    </row>
    <row r="1635" spans="1:11" s="4" customFormat="1" x14ac:dyDescent="0.25">
      <c r="A1635" s="39" t="s">
        <v>537</v>
      </c>
      <c r="B1635" s="42" t="s">
        <v>538</v>
      </c>
      <c r="C1635" s="9" t="s">
        <v>28</v>
      </c>
      <c r="D1635" s="17">
        <f>D1637+D1638+D1639+D1640</f>
        <v>36.464379999999998</v>
      </c>
      <c r="E1635" s="9" t="s">
        <v>28</v>
      </c>
      <c r="F1635" s="17">
        <f>F1637+F1638+F1639+F1640</f>
        <v>0</v>
      </c>
      <c r="G1635" s="9" t="s">
        <v>28</v>
      </c>
      <c r="H1635" s="17">
        <f>H1637+H1638+H1639+H1640</f>
        <v>0</v>
      </c>
      <c r="I1635" s="27" t="s">
        <v>501</v>
      </c>
      <c r="J1635" s="28"/>
      <c r="K1635" s="27" t="s">
        <v>214</v>
      </c>
    </row>
    <row r="1636" spans="1:11" s="4" customFormat="1" x14ac:dyDescent="0.25">
      <c r="A1636" s="40"/>
      <c r="B1636" s="43"/>
      <c r="C1636" s="9" t="s">
        <v>21</v>
      </c>
      <c r="D1636" s="17"/>
      <c r="E1636" s="9" t="s">
        <v>21</v>
      </c>
      <c r="F1636" s="17"/>
      <c r="G1636" s="9" t="s">
        <v>21</v>
      </c>
      <c r="H1636" s="17"/>
      <c r="I1636" s="28"/>
      <c r="J1636" s="28"/>
      <c r="K1636" s="28"/>
    </row>
    <row r="1637" spans="1:11" s="4" customFormat="1" x14ac:dyDescent="0.25">
      <c r="A1637" s="40"/>
      <c r="B1637" s="43"/>
      <c r="C1637" s="12" t="s">
        <v>22</v>
      </c>
      <c r="D1637" s="17">
        <v>0</v>
      </c>
      <c r="E1637" s="12" t="s">
        <v>22</v>
      </c>
      <c r="F1637" s="17">
        <v>0</v>
      </c>
      <c r="G1637" s="12" t="s">
        <v>22</v>
      </c>
      <c r="H1637" s="17">
        <v>0</v>
      </c>
      <c r="I1637" s="28"/>
      <c r="J1637" s="28"/>
      <c r="K1637" s="28"/>
    </row>
    <row r="1638" spans="1:11" s="4" customFormat="1" x14ac:dyDescent="0.25">
      <c r="A1638" s="40"/>
      <c r="B1638" s="43"/>
      <c r="C1638" s="12" t="s">
        <v>23</v>
      </c>
      <c r="D1638" s="17">
        <v>0</v>
      </c>
      <c r="E1638" s="12" t="s">
        <v>23</v>
      </c>
      <c r="F1638" s="17">
        <v>0</v>
      </c>
      <c r="G1638" s="12" t="s">
        <v>23</v>
      </c>
      <c r="H1638" s="17">
        <v>0</v>
      </c>
      <c r="I1638" s="28"/>
      <c r="J1638" s="28"/>
      <c r="K1638" s="28"/>
    </row>
    <row r="1639" spans="1:11" s="4" customFormat="1" x14ac:dyDescent="0.25">
      <c r="A1639" s="40"/>
      <c r="B1639" s="43"/>
      <c r="C1639" s="12" t="s">
        <v>24</v>
      </c>
      <c r="D1639" s="17">
        <f>36464.38/1000</f>
        <v>36.464379999999998</v>
      </c>
      <c r="E1639" s="12" t="s">
        <v>24</v>
      </c>
      <c r="F1639" s="17">
        <v>0</v>
      </c>
      <c r="G1639" s="12" t="s">
        <v>24</v>
      </c>
      <c r="H1639" s="17">
        <v>0</v>
      </c>
      <c r="I1639" s="28"/>
      <c r="J1639" s="28"/>
      <c r="K1639" s="28"/>
    </row>
    <row r="1640" spans="1:11" s="4" customFormat="1" x14ac:dyDescent="0.25">
      <c r="A1640" s="41"/>
      <c r="B1640" s="44"/>
      <c r="C1640" s="12" t="s">
        <v>25</v>
      </c>
      <c r="D1640" s="17">
        <v>0</v>
      </c>
      <c r="E1640" s="12" t="s">
        <v>25</v>
      </c>
      <c r="F1640" s="17">
        <v>0</v>
      </c>
      <c r="G1640" s="12" t="s">
        <v>25</v>
      </c>
      <c r="H1640" s="17">
        <v>0</v>
      </c>
      <c r="I1640" s="29"/>
      <c r="J1640" s="28"/>
      <c r="K1640" s="29"/>
    </row>
    <row r="1641" spans="1:11" s="4" customFormat="1" x14ac:dyDescent="0.25">
      <c r="A1641" s="39" t="s">
        <v>539</v>
      </c>
      <c r="B1641" s="42" t="s">
        <v>95</v>
      </c>
      <c r="C1641" s="9" t="s">
        <v>28</v>
      </c>
      <c r="D1641" s="17">
        <f>D1643+D1644+D1645+D1646</f>
        <v>0</v>
      </c>
      <c r="E1641" s="9" t="s">
        <v>28</v>
      </c>
      <c r="F1641" s="17">
        <f>F1643+F1644+F1645+F1646</f>
        <v>0</v>
      </c>
      <c r="G1641" s="9" t="s">
        <v>28</v>
      </c>
      <c r="H1641" s="17">
        <f>H1643+H1644+H1645+H1646</f>
        <v>11115.3</v>
      </c>
      <c r="I1641" s="27" t="s">
        <v>501</v>
      </c>
      <c r="J1641" s="28"/>
      <c r="K1641" s="27" t="s">
        <v>214</v>
      </c>
    </row>
    <row r="1642" spans="1:11" s="4" customFormat="1" x14ac:dyDescent="0.25">
      <c r="A1642" s="40"/>
      <c r="B1642" s="43"/>
      <c r="C1642" s="9" t="s">
        <v>21</v>
      </c>
      <c r="D1642" s="17"/>
      <c r="E1642" s="9" t="s">
        <v>21</v>
      </c>
      <c r="F1642" s="17"/>
      <c r="G1642" s="9" t="s">
        <v>21</v>
      </c>
      <c r="H1642" s="17"/>
      <c r="I1642" s="28"/>
      <c r="J1642" s="28"/>
      <c r="K1642" s="28"/>
    </row>
    <row r="1643" spans="1:11" s="4" customFormat="1" x14ac:dyDescent="0.25">
      <c r="A1643" s="40"/>
      <c r="B1643" s="43"/>
      <c r="C1643" s="12" t="s">
        <v>22</v>
      </c>
      <c r="D1643" s="17">
        <v>0</v>
      </c>
      <c r="E1643" s="12" t="s">
        <v>22</v>
      </c>
      <c r="F1643" s="17">
        <v>0</v>
      </c>
      <c r="G1643" s="12" t="s">
        <v>22</v>
      </c>
      <c r="H1643" s="17">
        <v>0</v>
      </c>
      <c r="I1643" s="28"/>
      <c r="J1643" s="28"/>
      <c r="K1643" s="28"/>
    </row>
    <row r="1644" spans="1:11" s="4" customFormat="1" x14ac:dyDescent="0.25">
      <c r="A1644" s="40"/>
      <c r="B1644" s="43"/>
      <c r="C1644" s="12" t="s">
        <v>23</v>
      </c>
      <c r="D1644" s="17">
        <v>0</v>
      </c>
      <c r="E1644" s="12" t="s">
        <v>23</v>
      </c>
      <c r="F1644" s="17">
        <v>0</v>
      </c>
      <c r="G1644" s="12" t="s">
        <v>23</v>
      </c>
      <c r="H1644" s="17">
        <v>0</v>
      </c>
      <c r="I1644" s="28"/>
      <c r="J1644" s="28"/>
      <c r="K1644" s="28"/>
    </row>
    <row r="1645" spans="1:11" s="4" customFormat="1" x14ac:dyDescent="0.25">
      <c r="A1645" s="40"/>
      <c r="B1645" s="43"/>
      <c r="C1645" s="12" t="s">
        <v>24</v>
      </c>
      <c r="D1645" s="17">
        <v>0</v>
      </c>
      <c r="E1645" s="12" t="s">
        <v>24</v>
      </c>
      <c r="F1645" s="17">
        <v>0</v>
      </c>
      <c r="G1645" s="12" t="s">
        <v>24</v>
      </c>
      <c r="H1645" s="17">
        <v>11115.3</v>
      </c>
      <c r="I1645" s="28"/>
      <c r="J1645" s="28"/>
      <c r="K1645" s="28"/>
    </row>
    <row r="1646" spans="1:11" s="4" customFormat="1" x14ac:dyDescent="0.25">
      <c r="A1646" s="41"/>
      <c r="B1646" s="44"/>
      <c r="C1646" s="12" t="s">
        <v>25</v>
      </c>
      <c r="D1646" s="17">
        <v>0</v>
      </c>
      <c r="E1646" s="12" t="s">
        <v>25</v>
      </c>
      <c r="F1646" s="17">
        <v>0</v>
      </c>
      <c r="G1646" s="12" t="s">
        <v>25</v>
      </c>
      <c r="H1646" s="17">
        <v>0</v>
      </c>
      <c r="I1646" s="29"/>
      <c r="J1646" s="28"/>
      <c r="K1646" s="29"/>
    </row>
    <row r="1647" spans="1:11" s="4" customFormat="1" x14ac:dyDescent="0.25">
      <c r="A1647" s="48" t="s">
        <v>540</v>
      </c>
      <c r="B1647" s="51" t="s">
        <v>541</v>
      </c>
      <c r="C1647" s="9" t="s">
        <v>28</v>
      </c>
      <c r="D1647" s="10">
        <f>D1649+D1650+D1651+D1652</f>
        <v>31394.704859999991</v>
      </c>
      <c r="E1647" s="9" t="s">
        <v>28</v>
      </c>
      <c r="F1647" s="10">
        <f>F1649+F1650+F1651+F1652</f>
        <v>15167.27</v>
      </c>
      <c r="G1647" s="9" t="s">
        <v>28</v>
      </c>
      <c r="H1647" s="10">
        <f>H1649+H1650+H1651+H1652</f>
        <v>8789.9</v>
      </c>
      <c r="I1647" s="27" t="s">
        <v>18</v>
      </c>
      <c r="J1647" s="28"/>
      <c r="K1647" s="27" t="s">
        <v>214</v>
      </c>
    </row>
    <row r="1648" spans="1:11" s="4" customFormat="1" x14ac:dyDescent="0.25">
      <c r="A1648" s="49"/>
      <c r="B1648" s="52"/>
      <c r="C1648" s="9" t="s">
        <v>21</v>
      </c>
      <c r="D1648" s="10"/>
      <c r="E1648" s="9" t="s">
        <v>21</v>
      </c>
      <c r="F1648" s="10"/>
      <c r="G1648" s="9" t="s">
        <v>21</v>
      </c>
      <c r="H1648" s="10"/>
      <c r="I1648" s="28"/>
      <c r="J1648" s="28"/>
      <c r="K1648" s="28"/>
    </row>
    <row r="1649" spans="1:11" s="4" customFormat="1" x14ac:dyDescent="0.25">
      <c r="A1649" s="49"/>
      <c r="B1649" s="52"/>
      <c r="C1649" s="12" t="s">
        <v>22</v>
      </c>
      <c r="D1649" s="10">
        <v>0</v>
      </c>
      <c r="E1649" s="12" t="s">
        <v>22</v>
      </c>
      <c r="F1649" s="10">
        <v>0</v>
      </c>
      <c r="G1649" s="12" t="s">
        <v>22</v>
      </c>
      <c r="H1649" s="10">
        <v>0</v>
      </c>
      <c r="I1649" s="28"/>
      <c r="J1649" s="28"/>
      <c r="K1649" s="28"/>
    </row>
    <row r="1650" spans="1:11" s="4" customFormat="1" x14ac:dyDescent="0.25">
      <c r="A1650" s="49"/>
      <c r="B1650" s="52"/>
      <c r="C1650" s="12" t="s">
        <v>23</v>
      </c>
      <c r="D1650" s="10">
        <v>0</v>
      </c>
      <c r="E1650" s="12" t="s">
        <v>23</v>
      </c>
      <c r="F1650" s="10">
        <v>0</v>
      </c>
      <c r="G1650" s="12" t="s">
        <v>23</v>
      </c>
      <c r="H1650" s="10">
        <v>0</v>
      </c>
      <c r="I1650" s="28"/>
      <c r="J1650" s="28"/>
      <c r="K1650" s="28"/>
    </row>
    <row r="1651" spans="1:11" s="4" customFormat="1" x14ac:dyDescent="0.25">
      <c r="A1651" s="49"/>
      <c r="B1651" s="52"/>
      <c r="C1651" s="12" t="s">
        <v>24</v>
      </c>
      <c r="D1651" s="10">
        <f>D1657+D1861</f>
        <v>31394.704859999991</v>
      </c>
      <c r="E1651" s="12" t="s">
        <v>24</v>
      </c>
      <c r="F1651" s="10">
        <f>F1657+F1861</f>
        <v>15167.27</v>
      </c>
      <c r="G1651" s="12" t="s">
        <v>24</v>
      </c>
      <c r="H1651" s="10">
        <f>H1657+H1861</f>
        <v>8789.9</v>
      </c>
      <c r="I1651" s="28"/>
      <c r="J1651" s="28"/>
      <c r="K1651" s="28"/>
    </row>
    <row r="1652" spans="1:11" s="4" customFormat="1" x14ac:dyDescent="0.25">
      <c r="A1652" s="50"/>
      <c r="B1652" s="53"/>
      <c r="C1652" s="12" t="s">
        <v>25</v>
      </c>
      <c r="D1652" s="10">
        <v>0</v>
      </c>
      <c r="E1652" s="12" t="s">
        <v>25</v>
      </c>
      <c r="F1652" s="10">
        <v>0</v>
      </c>
      <c r="G1652" s="12" t="s">
        <v>25</v>
      </c>
      <c r="H1652" s="10">
        <v>0</v>
      </c>
      <c r="I1652" s="29"/>
      <c r="J1652" s="28"/>
      <c r="K1652" s="29"/>
    </row>
    <row r="1653" spans="1:11" s="4" customFormat="1" x14ac:dyDescent="0.25">
      <c r="A1653" s="39" t="s">
        <v>542</v>
      </c>
      <c r="B1653" s="42" t="s">
        <v>148</v>
      </c>
      <c r="C1653" s="9" t="s">
        <v>28</v>
      </c>
      <c r="D1653" s="17">
        <f>D1655+D1656+D1657+D1658</f>
        <v>17272.704859999994</v>
      </c>
      <c r="E1653" s="9" t="s">
        <v>28</v>
      </c>
      <c r="F1653" s="17">
        <f>F1655+F1656+F1657+F1658</f>
        <v>6750.83</v>
      </c>
      <c r="G1653" s="9" t="s">
        <v>28</v>
      </c>
      <c r="H1653" s="17">
        <f>H1655+H1656+H1657+H1658</f>
        <v>4802.25</v>
      </c>
      <c r="I1653" s="27" t="s">
        <v>18</v>
      </c>
      <c r="J1653" s="28"/>
      <c r="K1653" s="27" t="s">
        <v>214</v>
      </c>
    </row>
    <row r="1654" spans="1:11" s="4" customFormat="1" x14ac:dyDescent="0.25">
      <c r="A1654" s="40"/>
      <c r="B1654" s="43"/>
      <c r="C1654" s="9" t="s">
        <v>21</v>
      </c>
      <c r="D1654" s="17"/>
      <c r="E1654" s="9" t="s">
        <v>21</v>
      </c>
      <c r="F1654" s="17"/>
      <c r="G1654" s="9" t="s">
        <v>21</v>
      </c>
      <c r="H1654" s="17"/>
      <c r="I1654" s="28"/>
      <c r="J1654" s="28"/>
      <c r="K1654" s="28"/>
    </row>
    <row r="1655" spans="1:11" s="4" customFormat="1" x14ac:dyDescent="0.25">
      <c r="A1655" s="40"/>
      <c r="B1655" s="43"/>
      <c r="C1655" s="12" t="s">
        <v>22</v>
      </c>
      <c r="D1655" s="17">
        <f>D1661+D1667+D1673+D1679+D1685+D1691+D1697+D1703+D1709+D1715+D1721+D1727+D1733+D1739+D1745+D1751+D1757+D1763+D1769+D1775+D1781+D1787+D1793+D1799+D1805+D1853+D1811+D1817+D1823+D1829+D1835+D1841+D1847</f>
        <v>0</v>
      </c>
      <c r="E1655" s="12" t="s">
        <v>22</v>
      </c>
      <c r="F1655" s="17">
        <f>F1661+F1667+F1673+F1679+F1685+F1691+F1697+F1703+F1709+F1715+F1721+F1727+F1733+F1739+F1745+F1751+F1757+F1763+F1769+F1775+F1781+F1787+F1793+F1799+F1805+F1853+F1811+F1817+F1823+F1830+F1835+F1841+F1847</f>
        <v>0</v>
      </c>
      <c r="G1655" s="12" t="s">
        <v>22</v>
      </c>
      <c r="H1655" s="17">
        <f>H1661+H1667+H1673+H1679+H1685+H1691+H1697+H1703+H1709+H1715+H1721+H1727+H1733+H1739+H1745+H1751+H1757+H1763+H1769+H1775+H1781+H1787+H1793+H1799+H1805+H1853+H1811+H1817+H1823+H1830+H1835+H1841+H1847</f>
        <v>0</v>
      </c>
      <c r="I1655" s="28"/>
      <c r="J1655" s="28"/>
      <c r="K1655" s="28"/>
    </row>
    <row r="1656" spans="1:11" s="4" customFormat="1" x14ac:dyDescent="0.25">
      <c r="A1656" s="40"/>
      <c r="B1656" s="43"/>
      <c r="C1656" s="12" t="s">
        <v>23</v>
      </c>
      <c r="D1656" s="17">
        <f t="shared" ref="D1656:D1658" si="100">D1662+D1668+D1674+D1680+D1686+D1692+D1698+D1704+D1710+D1716+D1722+D1728+D1734+D1740+D1746+D1752+D1758+D1764+D1770+D1776+D1782+D1788+D1794+D1800+D1806+D1854+D1812+D1818+D1824+D1830+D1836+D1842+D1848</f>
        <v>0</v>
      </c>
      <c r="E1656" s="12" t="s">
        <v>23</v>
      </c>
      <c r="F1656" s="17">
        <f t="shared" ref="F1656:F1658" si="101">F1662+F1668+F1674+F1680+F1686+F1692+F1698+F1704+F1710+F1716+F1722+F1728+F1734+F1740+F1746+F1752+F1758+F1764+F1770+F1776+F1782+F1788+F1794+F1800+F1806+F1854+F1812+F1818+F1824+F1831+F1836+F1842+F1848</f>
        <v>0</v>
      </c>
      <c r="G1656" s="12" t="s">
        <v>23</v>
      </c>
      <c r="H1656" s="17">
        <f t="shared" ref="H1656:H1658" si="102">H1662+H1668+H1674+H1680+H1686+H1692+H1698+H1704+H1710+H1716+H1722+H1728+H1734+H1740+H1746+H1752+H1758+H1764+H1770+H1776+H1782+H1788+H1794+H1800+H1806+H1854+H1812+H1818+H1824+H1831+H1836+H1842+H1848</f>
        <v>0</v>
      </c>
      <c r="I1656" s="28"/>
      <c r="J1656" s="28"/>
      <c r="K1656" s="28"/>
    </row>
    <row r="1657" spans="1:11" s="4" customFormat="1" x14ac:dyDescent="0.25">
      <c r="A1657" s="40"/>
      <c r="B1657" s="43"/>
      <c r="C1657" s="12" t="s">
        <v>24</v>
      </c>
      <c r="D1657" s="17">
        <f t="shared" si="100"/>
        <v>17272.704859999994</v>
      </c>
      <c r="E1657" s="12" t="s">
        <v>24</v>
      </c>
      <c r="F1657" s="17">
        <f t="shared" si="101"/>
        <v>6750.83</v>
      </c>
      <c r="G1657" s="12" t="s">
        <v>24</v>
      </c>
      <c r="H1657" s="17">
        <f t="shared" si="102"/>
        <v>4802.25</v>
      </c>
      <c r="I1657" s="28"/>
      <c r="J1657" s="28"/>
      <c r="K1657" s="28"/>
    </row>
    <row r="1658" spans="1:11" s="4" customFormat="1" x14ac:dyDescent="0.25">
      <c r="A1658" s="41"/>
      <c r="B1658" s="44"/>
      <c r="C1658" s="12" t="s">
        <v>25</v>
      </c>
      <c r="D1658" s="17">
        <f t="shared" si="100"/>
        <v>0</v>
      </c>
      <c r="E1658" s="12" t="s">
        <v>25</v>
      </c>
      <c r="F1658" s="17">
        <f t="shared" si="101"/>
        <v>0</v>
      </c>
      <c r="G1658" s="12" t="s">
        <v>25</v>
      </c>
      <c r="H1658" s="17">
        <f t="shared" si="102"/>
        <v>0</v>
      </c>
      <c r="I1658" s="29"/>
      <c r="J1658" s="28"/>
      <c r="K1658" s="29"/>
    </row>
    <row r="1659" spans="1:11" s="4" customFormat="1" x14ac:dyDescent="0.25">
      <c r="A1659" s="39" t="s">
        <v>543</v>
      </c>
      <c r="B1659" s="42" t="s">
        <v>150</v>
      </c>
      <c r="C1659" s="9" t="s">
        <v>28</v>
      </c>
      <c r="D1659" s="17">
        <f>D1661+D1662+D1663+D1664</f>
        <v>3945.59</v>
      </c>
      <c r="E1659" s="9" t="s">
        <v>28</v>
      </c>
      <c r="F1659" s="17">
        <f>F1661+F1662+F1663+F1664</f>
        <v>6750.83</v>
      </c>
      <c r="G1659" s="9" t="s">
        <v>28</v>
      </c>
      <c r="H1659" s="17">
        <f>H1661+H1662+H1663+H1664</f>
        <v>4802.25</v>
      </c>
      <c r="I1659" s="27" t="s">
        <v>18</v>
      </c>
      <c r="J1659" s="28"/>
      <c r="K1659" s="27" t="s">
        <v>214</v>
      </c>
    </row>
    <row r="1660" spans="1:11" s="4" customFormat="1" x14ac:dyDescent="0.25">
      <c r="A1660" s="40"/>
      <c r="B1660" s="43"/>
      <c r="C1660" s="9" t="s">
        <v>21</v>
      </c>
      <c r="D1660" s="17"/>
      <c r="E1660" s="9" t="s">
        <v>21</v>
      </c>
      <c r="F1660" s="17"/>
      <c r="G1660" s="9" t="s">
        <v>21</v>
      </c>
      <c r="H1660" s="17"/>
      <c r="I1660" s="28"/>
      <c r="J1660" s="28"/>
      <c r="K1660" s="28"/>
    </row>
    <row r="1661" spans="1:11" s="4" customFormat="1" x14ac:dyDescent="0.25">
      <c r="A1661" s="40"/>
      <c r="B1661" s="43"/>
      <c r="C1661" s="12" t="s">
        <v>22</v>
      </c>
      <c r="D1661" s="17">
        <v>0</v>
      </c>
      <c r="E1661" s="12" t="s">
        <v>22</v>
      </c>
      <c r="F1661" s="17">
        <v>0</v>
      </c>
      <c r="G1661" s="12" t="s">
        <v>22</v>
      </c>
      <c r="H1661" s="17">
        <v>0</v>
      </c>
      <c r="I1661" s="28"/>
      <c r="J1661" s="28"/>
      <c r="K1661" s="28"/>
    </row>
    <row r="1662" spans="1:11" s="4" customFormat="1" x14ac:dyDescent="0.25">
      <c r="A1662" s="40"/>
      <c r="B1662" s="43"/>
      <c r="C1662" s="12" t="s">
        <v>23</v>
      </c>
      <c r="D1662" s="17">
        <v>0</v>
      </c>
      <c r="E1662" s="12" t="s">
        <v>23</v>
      </c>
      <c r="F1662" s="17">
        <v>0</v>
      </c>
      <c r="G1662" s="12" t="s">
        <v>23</v>
      </c>
      <c r="H1662" s="17">
        <v>0</v>
      </c>
      <c r="I1662" s="28"/>
      <c r="J1662" s="28"/>
      <c r="K1662" s="28"/>
    </row>
    <row r="1663" spans="1:11" s="4" customFormat="1" x14ac:dyDescent="0.25">
      <c r="A1663" s="40"/>
      <c r="B1663" s="43"/>
      <c r="C1663" s="12" t="s">
        <v>24</v>
      </c>
      <c r="D1663" s="17">
        <v>3945.59</v>
      </c>
      <c r="E1663" s="12" t="s">
        <v>24</v>
      </c>
      <c r="F1663" s="17">
        <v>6750.83</v>
      </c>
      <c r="G1663" s="12" t="s">
        <v>24</v>
      </c>
      <c r="H1663" s="17">
        <v>4802.25</v>
      </c>
      <c r="I1663" s="28"/>
      <c r="J1663" s="28"/>
      <c r="K1663" s="28"/>
    </row>
    <row r="1664" spans="1:11" s="4" customFormat="1" x14ac:dyDescent="0.25">
      <c r="A1664" s="41"/>
      <c r="B1664" s="44"/>
      <c r="C1664" s="12" t="s">
        <v>25</v>
      </c>
      <c r="D1664" s="17">
        <v>0</v>
      </c>
      <c r="E1664" s="12" t="s">
        <v>25</v>
      </c>
      <c r="F1664" s="17">
        <v>0</v>
      </c>
      <c r="G1664" s="12" t="s">
        <v>25</v>
      </c>
      <c r="H1664" s="17">
        <v>0</v>
      </c>
      <c r="I1664" s="29"/>
      <c r="J1664" s="28"/>
      <c r="K1664" s="29"/>
    </row>
    <row r="1665" spans="1:11" s="4" customFormat="1" x14ac:dyDescent="0.25">
      <c r="A1665" s="39" t="s">
        <v>544</v>
      </c>
      <c r="B1665" s="42" t="s">
        <v>545</v>
      </c>
      <c r="C1665" s="9" t="s">
        <v>28</v>
      </c>
      <c r="D1665" s="17">
        <f>D1667+D1668+D1669+D1670</f>
        <v>130.99918</v>
      </c>
      <c r="E1665" s="9" t="s">
        <v>28</v>
      </c>
      <c r="F1665" s="17">
        <f>F1667+F1668+F1669+F1670</f>
        <v>0</v>
      </c>
      <c r="G1665" s="9" t="s">
        <v>28</v>
      </c>
      <c r="H1665" s="17">
        <f>H1667+H1668+H1669+H1670</f>
        <v>0</v>
      </c>
      <c r="I1665" s="27" t="s">
        <v>100</v>
      </c>
      <c r="J1665" s="28"/>
      <c r="K1665" s="27" t="s">
        <v>214</v>
      </c>
    </row>
    <row r="1666" spans="1:11" s="4" customFormat="1" x14ac:dyDescent="0.25">
      <c r="A1666" s="40"/>
      <c r="B1666" s="43"/>
      <c r="C1666" s="9" t="s">
        <v>21</v>
      </c>
      <c r="D1666" s="17"/>
      <c r="E1666" s="9" t="s">
        <v>21</v>
      </c>
      <c r="F1666" s="17"/>
      <c r="G1666" s="9" t="s">
        <v>21</v>
      </c>
      <c r="H1666" s="17"/>
      <c r="I1666" s="28"/>
      <c r="J1666" s="28"/>
      <c r="K1666" s="28"/>
    </row>
    <row r="1667" spans="1:11" s="4" customFormat="1" x14ac:dyDescent="0.25">
      <c r="A1667" s="40"/>
      <c r="B1667" s="43"/>
      <c r="C1667" s="12" t="s">
        <v>22</v>
      </c>
      <c r="D1667" s="17">
        <v>0</v>
      </c>
      <c r="E1667" s="12" t="s">
        <v>22</v>
      </c>
      <c r="F1667" s="17">
        <v>0</v>
      </c>
      <c r="G1667" s="12" t="s">
        <v>22</v>
      </c>
      <c r="H1667" s="17">
        <v>0</v>
      </c>
      <c r="I1667" s="28"/>
      <c r="J1667" s="28"/>
      <c r="K1667" s="28"/>
    </row>
    <row r="1668" spans="1:11" s="4" customFormat="1" x14ac:dyDescent="0.25">
      <c r="A1668" s="40"/>
      <c r="B1668" s="43"/>
      <c r="C1668" s="12" t="s">
        <v>23</v>
      </c>
      <c r="D1668" s="17">
        <v>0</v>
      </c>
      <c r="E1668" s="12" t="s">
        <v>23</v>
      </c>
      <c r="F1668" s="17">
        <v>0</v>
      </c>
      <c r="G1668" s="12" t="s">
        <v>23</v>
      </c>
      <c r="H1668" s="17">
        <v>0</v>
      </c>
      <c r="I1668" s="28"/>
      <c r="J1668" s="28"/>
      <c r="K1668" s="28"/>
    </row>
    <row r="1669" spans="1:11" s="4" customFormat="1" x14ac:dyDescent="0.25">
      <c r="A1669" s="40"/>
      <c r="B1669" s="43"/>
      <c r="C1669" s="12" t="s">
        <v>24</v>
      </c>
      <c r="D1669" s="17">
        <f>130999.18/1000</f>
        <v>130.99918</v>
      </c>
      <c r="E1669" s="12" t="s">
        <v>24</v>
      </c>
      <c r="F1669" s="17">
        <v>0</v>
      </c>
      <c r="G1669" s="12" t="s">
        <v>24</v>
      </c>
      <c r="H1669" s="17">
        <v>0</v>
      </c>
      <c r="I1669" s="28"/>
      <c r="J1669" s="28"/>
      <c r="K1669" s="28"/>
    </row>
    <row r="1670" spans="1:11" s="4" customFormat="1" x14ac:dyDescent="0.25">
      <c r="A1670" s="41"/>
      <c r="B1670" s="44"/>
      <c r="C1670" s="12" t="s">
        <v>25</v>
      </c>
      <c r="D1670" s="17">
        <v>0</v>
      </c>
      <c r="E1670" s="12" t="s">
        <v>25</v>
      </c>
      <c r="F1670" s="17">
        <v>0</v>
      </c>
      <c r="G1670" s="12" t="s">
        <v>25</v>
      </c>
      <c r="H1670" s="17">
        <v>0</v>
      </c>
      <c r="I1670" s="29"/>
      <c r="J1670" s="28"/>
      <c r="K1670" s="29"/>
    </row>
    <row r="1671" spans="1:11" s="4" customFormat="1" x14ac:dyDescent="0.25">
      <c r="A1671" s="39" t="s">
        <v>546</v>
      </c>
      <c r="B1671" s="42" t="s">
        <v>547</v>
      </c>
      <c r="C1671" s="9" t="s">
        <v>28</v>
      </c>
      <c r="D1671" s="17">
        <f>D1673+D1674+D1675+D1676</f>
        <v>130.99918</v>
      </c>
      <c r="E1671" s="9" t="s">
        <v>28</v>
      </c>
      <c r="F1671" s="17">
        <f>F1673+F1674+F1675+F1676</f>
        <v>0</v>
      </c>
      <c r="G1671" s="9" t="s">
        <v>28</v>
      </c>
      <c r="H1671" s="17">
        <f>H1673+H1674+H1675+H1676</f>
        <v>0</v>
      </c>
      <c r="I1671" s="27" t="s">
        <v>100</v>
      </c>
      <c r="J1671" s="28"/>
      <c r="K1671" s="27" t="s">
        <v>214</v>
      </c>
    </row>
    <row r="1672" spans="1:11" s="4" customFormat="1" x14ac:dyDescent="0.25">
      <c r="A1672" s="40"/>
      <c r="B1672" s="43"/>
      <c r="C1672" s="9" t="s">
        <v>21</v>
      </c>
      <c r="D1672" s="17"/>
      <c r="E1672" s="9" t="s">
        <v>21</v>
      </c>
      <c r="F1672" s="17"/>
      <c r="G1672" s="9" t="s">
        <v>21</v>
      </c>
      <c r="H1672" s="17"/>
      <c r="I1672" s="28"/>
      <c r="J1672" s="28"/>
      <c r="K1672" s="28"/>
    </row>
    <row r="1673" spans="1:11" s="4" customFormat="1" x14ac:dyDescent="0.25">
      <c r="A1673" s="40"/>
      <c r="B1673" s="43"/>
      <c r="C1673" s="12" t="s">
        <v>22</v>
      </c>
      <c r="D1673" s="17">
        <v>0</v>
      </c>
      <c r="E1673" s="12" t="s">
        <v>22</v>
      </c>
      <c r="F1673" s="17">
        <v>0</v>
      </c>
      <c r="G1673" s="12" t="s">
        <v>22</v>
      </c>
      <c r="H1673" s="17">
        <v>0</v>
      </c>
      <c r="I1673" s="28"/>
      <c r="J1673" s="28"/>
      <c r="K1673" s="28"/>
    </row>
    <row r="1674" spans="1:11" s="4" customFormat="1" x14ac:dyDescent="0.25">
      <c r="A1674" s="40"/>
      <c r="B1674" s="43"/>
      <c r="C1674" s="12" t="s">
        <v>23</v>
      </c>
      <c r="D1674" s="17">
        <v>0</v>
      </c>
      <c r="E1674" s="12" t="s">
        <v>23</v>
      </c>
      <c r="F1674" s="17">
        <v>0</v>
      </c>
      <c r="G1674" s="12" t="s">
        <v>23</v>
      </c>
      <c r="H1674" s="17">
        <v>0</v>
      </c>
      <c r="I1674" s="28"/>
      <c r="J1674" s="28"/>
      <c r="K1674" s="28"/>
    </row>
    <row r="1675" spans="1:11" s="4" customFormat="1" x14ac:dyDescent="0.25">
      <c r="A1675" s="40"/>
      <c r="B1675" s="43"/>
      <c r="C1675" s="12" t="s">
        <v>24</v>
      </c>
      <c r="D1675" s="17">
        <f>130999.18/1000</f>
        <v>130.99918</v>
      </c>
      <c r="E1675" s="12" t="s">
        <v>24</v>
      </c>
      <c r="F1675" s="17">
        <v>0</v>
      </c>
      <c r="G1675" s="12" t="s">
        <v>24</v>
      </c>
      <c r="H1675" s="17">
        <v>0</v>
      </c>
      <c r="I1675" s="28"/>
      <c r="J1675" s="28"/>
      <c r="K1675" s="28"/>
    </row>
    <row r="1676" spans="1:11" s="4" customFormat="1" x14ac:dyDescent="0.25">
      <c r="A1676" s="41"/>
      <c r="B1676" s="44"/>
      <c r="C1676" s="12" t="s">
        <v>25</v>
      </c>
      <c r="D1676" s="17">
        <v>0</v>
      </c>
      <c r="E1676" s="12" t="s">
        <v>25</v>
      </c>
      <c r="F1676" s="17">
        <v>0</v>
      </c>
      <c r="G1676" s="12" t="s">
        <v>25</v>
      </c>
      <c r="H1676" s="17">
        <v>0</v>
      </c>
      <c r="I1676" s="29"/>
      <c r="J1676" s="28"/>
      <c r="K1676" s="29"/>
    </row>
    <row r="1677" spans="1:11" s="4" customFormat="1" x14ac:dyDescent="0.25">
      <c r="A1677" s="39" t="s">
        <v>548</v>
      </c>
      <c r="B1677" s="42" t="s">
        <v>549</v>
      </c>
      <c r="C1677" s="9" t="s">
        <v>28</v>
      </c>
      <c r="D1677" s="17">
        <f>D1679+D1680+D1681+D1682</f>
        <v>130.99918</v>
      </c>
      <c r="E1677" s="9" t="s">
        <v>28</v>
      </c>
      <c r="F1677" s="17">
        <f>F1679+F1680+F1681+F1682</f>
        <v>0</v>
      </c>
      <c r="G1677" s="9" t="s">
        <v>28</v>
      </c>
      <c r="H1677" s="17">
        <f>H1679+H1680+H1681+H1682</f>
        <v>0</v>
      </c>
      <c r="I1677" s="27" t="s">
        <v>100</v>
      </c>
      <c r="J1677" s="28"/>
      <c r="K1677" s="27" t="s">
        <v>214</v>
      </c>
    </row>
    <row r="1678" spans="1:11" s="4" customFormat="1" x14ac:dyDescent="0.25">
      <c r="A1678" s="40"/>
      <c r="B1678" s="43"/>
      <c r="C1678" s="9" t="s">
        <v>21</v>
      </c>
      <c r="D1678" s="17"/>
      <c r="E1678" s="9" t="s">
        <v>21</v>
      </c>
      <c r="F1678" s="17"/>
      <c r="G1678" s="9" t="s">
        <v>21</v>
      </c>
      <c r="H1678" s="17"/>
      <c r="I1678" s="28"/>
      <c r="J1678" s="28"/>
      <c r="K1678" s="28"/>
    </row>
    <row r="1679" spans="1:11" s="4" customFormat="1" x14ac:dyDescent="0.25">
      <c r="A1679" s="40"/>
      <c r="B1679" s="43"/>
      <c r="C1679" s="12" t="s">
        <v>22</v>
      </c>
      <c r="D1679" s="17">
        <v>0</v>
      </c>
      <c r="E1679" s="12" t="s">
        <v>22</v>
      </c>
      <c r="F1679" s="17">
        <v>0</v>
      </c>
      <c r="G1679" s="12" t="s">
        <v>22</v>
      </c>
      <c r="H1679" s="17">
        <v>0</v>
      </c>
      <c r="I1679" s="28"/>
      <c r="J1679" s="28"/>
      <c r="K1679" s="28"/>
    </row>
    <row r="1680" spans="1:11" s="4" customFormat="1" x14ac:dyDescent="0.25">
      <c r="A1680" s="40"/>
      <c r="B1680" s="43"/>
      <c r="C1680" s="12" t="s">
        <v>23</v>
      </c>
      <c r="D1680" s="17">
        <v>0</v>
      </c>
      <c r="E1680" s="12" t="s">
        <v>23</v>
      </c>
      <c r="F1680" s="17">
        <v>0</v>
      </c>
      <c r="G1680" s="12" t="s">
        <v>23</v>
      </c>
      <c r="H1680" s="17">
        <v>0</v>
      </c>
      <c r="I1680" s="28"/>
      <c r="J1680" s="28"/>
      <c r="K1680" s="28"/>
    </row>
    <row r="1681" spans="1:11" s="4" customFormat="1" x14ac:dyDescent="0.25">
      <c r="A1681" s="40"/>
      <c r="B1681" s="43"/>
      <c r="C1681" s="12" t="s">
        <v>24</v>
      </c>
      <c r="D1681" s="17">
        <f>130999.18/1000</f>
        <v>130.99918</v>
      </c>
      <c r="E1681" s="12" t="s">
        <v>24</v>
      </c>
      <c r="F1681" s="17">
        <v>0</v>
      </c>
      <c r="G1681" s="12" t="s">
        <v>24</v>
      </c>
      <c r="H1681" s="17">
        <v>0</v>
      </c>
      <c r="I1681" s="28"/>
      <c r="J1681" s="28"/>
      <c r="K1681" s="28"/>
    </row>
    <row r="1682" spans="1:11" s="4" customFormat="1" x14ac:dyDescent="0.25">
      <c r="A1682" s="41"/>
      <c r="B1682" s="44"/>
      <c r="C1682" s="12" t="s">
        <v>25</v>
      </c>
      <c r="D1682" s="17">
        <v>0</v>
      </c>
      <c r="E1682" s="12" t="s">
        <v>25</v>
      </c>
      <c r="F1682" s="17">
        <v>0</v>
      </c>
      <c r="G1682" s="12" t="s">
        <v>25</v>
      </c>
      <c r="H1682" s="17">
        <v>0</v>
      </c>
      <c r="I1682" s="29"/>
      <c r="J1682" s="28"/>
      <c r="K1682" s="29"/>
    </row>
    <row r="1683" spans="1:11" s="4" customFormat="1" x14ac:dyDescent="0.25">
      <c r="A1683" s="39" t="s">
        <v>550</v>
      </c>
      <c r="B1683" s="42" t="s">
        <v>551</v>
      </c>
      <c r="C1683" s="9" t="s">
        <v>28</v>
      </c>
      <c r="D1683" s="17">
        <f>D1685+D1686+D1687+D1688</f>
        <v>130.99918</v>
      </c>
      <c r="E1683" s="9" t="s">
        <v>28</v>
      </c>
      <c r="F1683" s="17">
        <f>F1685+F1686+F1687+F1688</f>
        <v>0</v>
      </c>
      <c r="G1683" s="9" t="s">
        <v>28</v>
      </c>
      <c r="H1683" s="17">
        <f>H1685+H1686+H1687+H1688</f>
        <v>0</v>
      </c>
      <c r="I1683" s="27" t="s">
        <v>100</v>
      </c>
      <c r="J1683" s="28"/>
      <c r="K1683" s="27" t="s">
        <v>214</v>
      </c>
    </row>
    <row r="1684" spans="1:11" s="4" customFormat="1" x14ac:dyDescent="0.25">
      <c r="A1684" s="40"/>
      <c r="B1684" s="43"/>
      <c r="C1684" s="9" t="s">
        <v>21</v>
      </c>
      <c r="D1684" s="17"/>
      <c r="E1684" s="9" t="s">
        <v>21</v>
      </c>
      <c r="F1684" s="17"/>
      <c r="G1684" s="9" t="s">
        <v>21</v>
      </c>
      <c r="H1684" s="17"/>
      <c r="I1684" s="28"/>
      <c r="J1684" s="28"/>
      <c r="K1684" s="28"/>
    </row>
    <row r="1685" spans="1:11" s="4" customFormat="1" x14ac:dyDescent="0.25">
      <c r="A1685" s="40"/>
      <c r="B1685" s="43"/>
      <c r="C1685" s="12" t="s">
        <v>22</v>
      </c>
      <c r="D1685" s="17">
        <v>0</v>
      </c>
      <c r="E1685" s="12" t="s">
        <v>22</v>
      </c>
      <c r="F1685" s="17">
        <v>0</v>
      </c>
      <c r="G1685" s="12" t="s">
        <v>22</v>
      </c>
      <c r="H1685" s="17">
        <v>0</v>
      </c>
      <c r="I1685" s="28"/>
      <c r="J1685" s="28"/>
      <c r="K1685" s="28"/>
    </row>
    <row r="1686" spans="1:11" s="4" customFormat="1" x14ac:dyDescent="0.25">
      <c r="A1686" s="40"/>
      <c r="B1686" s="43"/>
      <c r="C1686" s="12" t="s">
        <v>23</v>
      </c>
      <c r="D1686" s="17">
        <v>0</v>
      </c>
      <c r="E1686" s="12" t="s">
        <v>23</v>
      </c>
      <c r="F1686" s="17">
        <v>0</v>
      </c>
      <c r="G1686" s="12" t="s">
        <v>23</v>
      </c>
      <c r="H1686" s="17">
        <v>0</v>
      </c>
      <c r="I1686" s="28"/>
      <c r="J1686" s="28"/>
      <c r="K1686" s="28"/>
    </row>
    <row r="1687" spans="1:11" s="4" customFormat="1" x14ac:dyDescent="0.25">
      <c r="A1687" s="40"/>
      <c r="B1687" s="43"/>
      <c r="C1687" s="12" t="s">
        <v>24</v>
      </c>
      <c r="D1687" s="17">
        <f>130999.18/1000</f>
        <v>130.99918</v>
      </c>
      <c r="E1687" s="12" t="s">
        <v>24</v>
      </c>
      <c r="F1687" s="17">
        <v>0</v>
      </c>
      <c r="G1687" s="12" t="s">
        <v>24</v>
      </c>
      <c r="H1687" s="17">
        <v>0</v>
      </c>
      <c r="I1687" s="28"/>
      <c r="J1687" s="28"/>
      <c r="K1687" s="28"/>
    </row>
    <row r="1688" spans="1:11" s="4" customFormat="1" x14ac:dyDescent="0.25">
      <c r="A1688" s="41"/>
      <c r="B1688" s="44"/>
      <c r="C1688" s="12" t="s">
        <v>25</v>
      </c>
      <c r="D1688" s="17">
        <v>0</v>
      </c>
      <c r="E1688" s="12" t="s">
        <v>25</v>
      </c>
      <c r="F1688" s="17">
        <v>0</v>
      </c>
      <c r="G1688" s="12" t="s">
        <v>25</v>
      </c>
      <c r="H1688" s="17">
        <v>0</v>
      </c>
      <c r="I1688" s="29"/>
      <c r="J1688" s="28"/>
      <c r="K1688" s="29"/>
    </row>
    <row r="1689" spans="1:11" s="4" customFormat="1" x14ac:dyDescent="0.25">
      <c r="A1689" s="39" t="s">
        <v>552</v>
      </c>
      <c r="B1689" s="42" t="s">
        <v>553</v>
      </c>
      <c r="C1689" s="9" t="s">
        <v>28</v>
      </c>
      <c r="D1689" s="17">
        <f>D1691+D1692+D1693+D1694</f>
        <v>130.99918</v>
      </c>
      <c r="E1689" s="9" t="s">
        <v>28</v>
      </c>
      <c r="F1689" s="17">
        <f>F1691+F1692+F1693+F1694</f>
        <v>0</v>
      </c>
      <c r="G1689" s="9" t="s">
        <v>28</v>
      </c>
      <c r="H1689" s="17">
        <f>H1691+H1692+H1693+H1694</f>
        <v>0</v>
      </c>
      <c r="I1689" s="27" t="s">
        <v>100</v>
      </c>
      <c r="J1689" s="28"/>
      <c r="K1689" s="27" t="s">
        <v>214</v>
      </c>
    </row>
    <row r="1690" spans="1:11" s="4" customFormat="1" x14ac:dyDescent="0.25">
      <c r="A1690" s="40"/>
      <c r="B1690" s="43"/>
      <c r="C1690" s="9" t="s">
        <v>21</v>
      </c>
      <c r="D1690" s="17"/>
      <c r="E1690" s="9" t="s">
        <v>21</v>
      </c>
      <c r="F1690" s="17"/>
      <c r="G1690" s="9" t="s">
        <v>21</v>
      </c>
      <c r="H1690" s="17"/>
      <c r="I1690" s="28"/>
      <c r="J1690" s="28"/>
      <c r="K1690" s="28"/>
    </row>
    <row r="1691" spans="1:11" s="4" customFormat="1" x14ac:dyDescent="0.25">
      <c r="A1691" s="40"/>
      <c r="B1691" s="43"/>
      <c r="C1691" s="12" t="s">
        <v>22</v>
      </c>
      <c r="D1691" s="17">
        <v>0</v>
      </c>
      <c r="E1691" s="12" t="s">
        <v>22</v>
      </c>
      <c r="F1691" s="17">
        <v>0</v>
      </c>
      <c r="G1691" s="12" t="s">
        <v>22</v>
      </c>
      <c r="H1691" s="17">
        <v>0</v>
      </c>
      <c r="I1691" s="28"/>
      <c r="J1691" s="28"/>
      <c r="K1691" s="28"/>
    </row>
    <row r="1692" spans="1:11" s="4" customFormat="1" x14ac:dyDescent="0.25">
      <c r="A1692" s="40"/>
      <c r="B1692" s="43"/>
      <c r="C1692" s="12" t="s">
        <v>23</v>
      </c>
      <c r="D1692" s="17">
        <v>0</v>
      </c>
      <c r="E1692" s="12" t="s">
        <v>23</v>
      </c>
      <c r="F1692" s="17">
        <v>0</v>
      </c>
      <c r="G1692" s="12" t="s">
        <v>23</v>
      </c>
      <c r="H1692" s="17">
        <v>0</v>
      </c>
      <c r="I1692" s="28"/>
      <c r="J1692" s="28"/>
      <c r="K1692" s="28"/>
    </row>
    <row r="1693" spans="1:11" s="4" customFormat="1" x14ac:dyDescent="0.25">
      <c r="A1693" s="40"/>
      <c r="B1693" s="43"/>
      <c r="C1693" s="12" t="s">
        <v>24</v>
      </c>
      <c r="D1693" s="17">
        <f>130999.18/1000</f>
        <v>130.99918</v>
      </c>
      <c r="E1693" s="12" t="s">
        <v>24</v>
      </c>
      <c r="F1693" s="17">
        <v>0</v>
      </c>
      <c r="G1693" s="12" t="s">
        <v>24</v>
      </c>
      <c r="H1693" s="17">
        <v>0</v>
      </c>
      <c r="I1693" s="28"/>
      <c r="J1693" s="28"/>
      <c r="K1693" s="28"/>
    </row>
    <row r="1694" spans="1:11" s="4" customFormat="1" x14ac:dyDescent="0.25">
      <c r="A1694" s="41"/>
      <c r="B1694" s="44"/>
      <c r="C1694" s="12" t="s">
        <v>25</v>
      </c>
      <c r="D1694" s="17">
        <v>0</v>
      </c>
      <c r="E1694" s="12" t="s">
        <v>25</v>
      </c>
      <c r="F1694" s="17">
        <v>0</v>
      </c>
      <c r="G1694" s="12" t="s">
        <v>25</v>
      </c>
      <c r="H1694" s="17">
        <v>0</v>
      </c>
      <c r="I1694" s="29"/>
      <c r="J1694" s="28"/>
      <c r="K1694" s="29"/>
    </row>
    <row r="1695" spans="1:11" s="4" customFormat="1" x14ac:dyDescent="0.25">
      <c r="A1695" s="39" t="s">
        <v>554</v>
      </c>
      <c r="B1695" s="42" t="s">
        <v>555</v>
      </c>
      <c r="C1695" s="9" t="s">
        <v>28</v>
      </c>
      <c r="D1695" s="17">
        <f>D1697+D1698+D1699+D1700</f>
        <v>392.99753999999996</v>
      </c>
      <c r="E1695" s="9" t="s">
        <v>28</v>
      </c>
      <c r="F1695" s="17">
        <f>F1697+F1698+F1699+F1700</f>
        <v>0</v>
      </c>
      <c r="G1695" s="9" t="s">
        <v>28</v>
      </c>
      <c r="H1695" s="17">
        <f>H1697+H1698+H1699+H1700</f>
        <v>0</v>
      </c>
      <c r="I1695" s="27" t="s">
        <v>100</v>
      </c>
      <c r="J1695" s="28"/>
      <c r="K1695" s="27" t="s">
        <v>214</v>
      </c>
    </row>
    <row r="1696" spans="1:11" s="4" customFormat="1" x14ac:dyDescent="0.25">
      <c r="A1696" s="40"/>
      <c r="B1696" s="43"/>
      <c r="C1696" s="9" t="s">
        <v>21</v>
      </c>
      <c r="D1696" s="17"/>
      <c r="E1696" s="9" t="s">
        <v>21</v>
      </c>
      <c r="F1696" s="17"/>
      <c r="G1696" s="9" t="s">
        <v>21</v>
      </c>
      <c r="H1696" s="17"/>
      <c r="I1696" s="28"/>
      <c r="J1696" s="28"/>
      <c r="K1696" s="28"/>
    </row>
    <row r="1697" spans="1:11" s="4" customFormat="1" x14ac:dyDescent="0.25">
      <c r="A1697" s="40"/>
      <c r="B1697" s="43"/>
      <c r="C1697" s="12" t="s">
        <v>22</v>
      </c>
      <c r="D1697" s="17">
        <v>0</v>
      </c>
      <c r="E1697" s="12" t="s">
        <v>22</v>
      </c>
      <c r="F1697" s="17">
        <v>0</v>
      </c>
      <c r="G1697" s="12" t="s">
        <v>22</v>
      </c>
      <c r="H1697" s="17">
        <v>0</v>
      </c>
      <c r="I1697" s="28"/>
      <c r="J1697" s="28"/>
      <c r="K1697" s="28"/>
    </row>
    <row r="1698" spans="1:11" s="4" customFormat="1" x14ac:dyDescent="0.25">
      <c r="A1698" s="40"/>
      <c r="B1698" s="43"/>
      <c r="C1698" s="12" t="s">
        <v>23</v>
      </c>
      <c r="D1698" s="17">
        <v>0</v>
      </c>
      <c r="E1698" s="12" t="s">
        <v>23</v>
      </c>
      <c r="F1698" s="17">
        <v>0</v>
      </c>
      <c r="G1698" s="12" t="s">
        <v>23</v>
      </c>
      <c r="H1698" s="17">
        <v>0</v>
      </c>
      <c r="I1698" s="28"/>
      <c r="J1698" s="28"/>
      <c r="K1698" s="28"/>
    </row>
    <row r="1699" spans="1:11" s="4" customFormat="1" x14ac:dyDescent="0.25">
      <c r="A1699" s="40"/>
      <c r="B1699" s="43"/>
      <c r="C1699" s="12" t="s">
        <v>24</v>
      </c>
      <c r="D1699" s="17">
        <f>392997.54/1000</f>
        <v>392.99753999999996</v>
      </c>
      <c r="E1699" s="12" t="s">
        <v>24</v>
      </c>
      <c r="F1699" s="17">
        <v>0</v>
      </c>
      <c r="G1699" s="12" t="s">
        <v>24</v>
      </c>
      <c r="H1699" s="17">
        <v>0</v>
      </c>
      <c r="I1699" s="28"/>
      <c r="J1699" s="28"/>
      <c r="K1699" s="28"/>
    </row>
    <row r="1700" spans="1:11" s="4" customFormat="1" x14ac:dyDescent="0.25">
      <c r="A1700" s="41"/>
      <c r="B1700" s="44"/>
      <c r="C1700" s="12" t="s">
        <v>25</v>
      </c>
      <c r="D1700" s="17">
        <v>0</v>
      </c>
      <c r="E1700" s="12" t="s">
        <v>25</v>
      </c>
      <c r="F1700" s="17">
        <v>0</v>
      </c>
      <c r="G1700" s="12" t="s">
        <v>25</v>
      </c>
      <c r="H1700" s="17">
        <v>0</v>
      </c>
      <c r="I1700" s="29"/>
      <c r="J1700" s="28"/>
      <c r="K1700" s="29"/>
    </row>
    <row r="1701" spans="1:11" s="4" customFormat="1" x14ac:dyDescent="0.25">
      <c r="A1701" s="39" t="s">
        <v>556</v>
      </c>
      <c r="B1701" s="42" t="s">
        <v>557</v>
      </c>
      <c r="C1701" s="9" t="s">
        <v>28</v>
      </c>
      <c r="D1701" s="17">
        <f>D1703+D1704+D1705+D1706</f>
        <v>130.99918</v>
      </c>
      <c r="E1701" s="9" t="s">
        <v>28</v>
      </c>
      <c r="F1701" s="17">
        <f>F1703+F1704+F1705+F1706</f>
        <v>0</v>
      </c>
      <c r="G1701" s="9" t="s">
        <v>28</v>
      </c>
      <c r="H1701" s="17">
        <f>H1703+H1704+H1705+H1706</f>
        <v>0</v>
      </c>
      <c r="I1701" s="27" t="s">
        <v>100</v>
      </c>
      <c r="J1701" s="28"/>
      <c r="K1701" s="27" t="s">
        <v>214</v>
      </c>
    </row>
    <row r="1702" spans="1:11" s="4" customFormat="1" x14ac:dyDescent="0.25">
      <c r="A1702" s="40"/>
      <c r="B1702" s="43"/>
      <c r="C1702" s="9" t="s">
        <v>21</v>
      </c>
      <c r="D1702" s="17"/>
      <c r="E1702" s="9" t="s">
        <v>21</v>
      </c>
      <c r="F1702" s="17"/>
      <c r="G1702" s="9" t="s">
        <v>21</v>
      </c>
      <c r="H1702" s="17"/>
      <c r="I1702" s="28"/>
      <c r="J1702" s="28"/>
      <c r="K1702" s="28"/>
    </row>
    <row r="1703" spans="1:11" s="4" customFormat="1" x14ac:dyDescent="0.25">
      <c r="A1703" s="40"/>
      <c r="B1703" s="43"/>
      <c r="C1703" s="12" t="s">
        <v>22</v>
      </c>
      <c r="D1703" s="17">
        <v>0</v>
      </c>
      <c r="E1703" s="12" t="s">
        <v>22</v>
      </c>
      <c r="F1703" s="17">
        <v>0</v>
      </c>
      <c r="G1703" s="12" t="s">
        <v>22</v>
      </c>
      <c r="H1703" s="17">
        <v>0</v>
      </c>
      <c r="I1703" s="28"/>
      <c r="J1703" s="28"/>
      <c r="K1703" s="28"/>
    </row>
    <row r="1704" spans="1:11" s="4" customFormat="1" x14ac:dyDescent="0.25">
      <c r="A1704" s="40"/>
      <c r="B1704" s="43"/>
      <c r="C1704" s="12" t="s">
        <v>23</v>
      </c>
      <c r="D1704" s="17">
        <v>0</v>
      </c>
      <c r="E1704" s="12" t="s">
        <v>23</v>
      </c>
      <c r="F1704" s="17">
        <v>0</v>
      </c>
      <c r="G1704" s="12" t="s">
        <v>23</v>
      </c>
      <c r="H1704" s="17">
        <v>0</v>
      </c>
      <c r="I1704" s="28"/>
      <c r="J1704" s="28"/>
      <c r="K1704" s="28"/>
    </row>
    <row r="1705" spans="1:11" s="4" customFormat="1" x14ac:dyDescent="0.25">
      <c r="A1705" s="40"/>
      <c r="B1705" s="43"/>
      <c r="C1705" s="12" t="s">
        <v>24</v>
      </c>
      <c r="D1705" s="17">
        <f>130999.18/1000</f>
        <v>130.99918</v>
      </c>
      <c r="E1705" s="12" t="s">
        <v>24</v>
      </c>
      <c r="F1705" s="17">
        <v>0</v>
      </c>
      <c r="G1705" s="12" t="s">
        <v>24</v>
      </c>
      <c r="H1705" s="17">
        <v>0</v>
      </c>
      <c r="I1705" s="28"/>
      <c r="J1705" s="28"/>
      <c r="K1705" s="28"/>
    </row>
    <row r="1706" spans="1:11" s="4" customFormat="1" x14ac:dyDescent="0.25">
      <c r="A1706" s="41"/>
      <c r="B1706" s="44"/>
      <c r="C1706" s="12" t="s">
        <v>25</v>
      </c>
      <c r="D1706" s="17">
        <v>0</v>
      </c>
      <c r="E1706" s="12" t="s">
        <v>25</v>
      </c>
      <c r="F1706" s="17">
        <v>0</v>
      </c>
      <c r="G1706" s="12" t="s">
        <v>25</v>
      </c>
      <c r="H1706" s="17">
        <v>0</v>
      </c>
      <c r="I1706" s="29"/>
      <c r="J1706" s="28"/>
      <c r="K1706" s="29"/>
    </row>
    <row r="1707" spans="1:11" s="4" customFormat="1" x14ac:dyDescent="0.25">
      <c r="A1707" s="39" t="s">
        <v>558</v>
      </c>
      <c r="B1707" s="42" t="s">
        <v>559</v>
      </c>
      <c r="C1707" s="9" t="s">
        <v>28</v>
      </c>
      <c r="D1707" s="17">
        <f>D1709+D1710+D1711+D1712</f>
        <v>130.99918</v>
      </c>
      <c r="E1707" s="9" t="s">
        <v>28</v>
      </c>
      <c r="F1707" s="17">
        <f>F1709+F1710+F1711+F1712</f>
        <v>0</v>
      </c>
      <c r="G1707" s="9" t="s">
        <v>28</v>
      </c>
      <c r="H1707" s="17">
        <f>H1709+H1710+H1711+H1712</f>
        <v>0</v>
      </c>
      <c r="I1707" s="27" t="s">
        <v>100</v>
      </c>
      <c r="J1707" s="28"/>
      <c r="K1707" s="27" t="s">
        <v>214</v>
      </c>
    </row>
    <row r="1708" spans="1:11" s="4" customFormat="1" x14ac:dyDescent="0.25">
      <c r="A1708" s="40"/>
      <c r="B1708" s="43"/>
      <c r="C1708" s="9" t="s">
        <v>21</v>
      </c>
      <c r="D1708" s="17"/>
      <c r="E1708" s="9" t="s">
        <v>21</v>
      </c>
      <c r="F1708" s="17"/>
      <c r="G1708" s="9" t="s">
        <v>21</v>
      </c>
      <c r="H1708" s="17"/>
      <c r="I1708" s="28"/>
      <c r="J1708" s="28"/>
      <c r="K1708" s="28"/>
    </row>
    <row r="1709" spans="1:11" s="4" customFormat="1" x14ac:dyDescent="0.25">
      <c r="A1709" s="40"/>
      <c r="B1709" s="43"/>
      <c r="C1709" s="12" t="s">
        <v>22</v>
      </c>
      <c r="D1709" s="17">
        <v>0</v>
      </c>
      <c r="E1709" s="12" t="s">
        <v>22</v>
      </c>
      <c r="F1709" s="17">
        <v>0</v>
      </c>
      <c r="G1709" s="12" t="s">
        <v>22</v>
      </c>
      <c r="H1709" s="17">
        <v>0</v>
      </c>
      <c r="I1709" s="28"/>
      <c r="J1709" s="28"/>
      <c r="K1709" s="28"/>
    </row>
    <row r="1710" spans="1:11" s="4" customFormat="1" x14ac:dyDescent="0.25">
      <c r="A1710" s="40"/>
      <c r="B1710" s="43"/>
      <c r="C1710" s="12" t="s">
        <v>23</v>
      </c>
      <c r="D1710" s="17">
        <v>0</v>
      </c>
      <c r="E1710" s="12" t="s">
        <v>23</v>
      </c>
      <c r="F1710" s="17">
        <v>0</v>
      </c>
      <c r="G1710" s="12" t="s">
        <v>23</v>
      </c>
      <c r="H1710" s="17">
        <v>0</v>
      </c>
      <c r="I1710" s="28"/>
      <c r="J1710" s="28"/>
      <c r="K1710" s="28"/>
    </row>
    <row r="1711" spans="1:11" s="4" customFormat="1" x14ac:dyDescent="0.25">
      <c r="A1711" s="40"/>
      <c r="B1711" s="43"/>
      <c r="C1711" s="12" t="s">
        <v>24</v>
      </c>
      <c r="D1711" s="17">
        <f>130999.18/1000</f>
        <v>130.99918</v>
      </c>
      <c r="E1711" s="12" t="s">
        <v>24</v>
      </c>
      <c r="F1711" s="17">
        <v>0</v>
      </c>
      <c r="G1711" s="12" t="s">
        <v>24</v>
      </c>
      <c r="H1711" s="17">
        <v>0</v>
      </c>
      <c r="I1711" s="28"/>
      <c r="J1711" s="28"/>
      <c r="K1711" s="28"/>
    </row>
    <row r="1712" spans="1:11" s="4" customFormat="1" x14ac:dyDescent="0.25">
      <c r="A1712" s="41"/>
      <c r="B1712" s="44"/>
      <c r="C1712" s="12" t="s">
        <v>25</v>
      </c>
      <c r="D1712" s="17">
        <v>0</v>
      </c>
      <c r="E1712" s="12" t="s">
        <v>25</v>
      </c>
      <c r="F1712" s="17">
        <v>0</v>
      </c>
      <c r="G1712" s="12" t="s">
        <v>25</v>
      </c>
      <c r="H1712" s="17">
        <v>0</v>
      </c>
      <c r="I1712" s="29"/>
      <c r="J1712" s="28"/>
      <c r="K1712" s="29"/>
    </row>
    <row r="1713" spans="1:11" s="4" customFormat="1" x14ac:dyDescent="0.25">
      <c r="A1713" s="39" t="s">
        <v>560</v>
      </c>
      <c r="B1713" s="42" t="s">
        <v>561</v>
      </c>
      <c r="C1713" s="9" t="s">
        <v>28</v>
      </c>
      <c r="D1713" s="17">
        <f>D1715+D1716+D1717+D1718</f>
        <v>250.97898999999998</v>
      </c>
      <c r="E1713" s="9" t="s">
        <v>28</v>
      </c>
      <c r="F1713" s="17">
        <f>F1715+F1716+F1717+F1718</f>
        <v>0</v>
      </c>
      <c r="G1713" s="9" t="s">
        <v>28</v>
      </c>
      <c r="H1713" s="17">
        <f>H1715+H1716+H1717+H1718</f>
        <v>0</v>
      </c>
      <c r="I1713" s="27" t="s">
        <v>100</v>
      </c>
      <c r="J1713" s="28"/>
      <c r="K1713" s="27" t="s">
        <v>214</v>
      </c>
    </row>
    <row r="1714" spans="1:11" s="4" customFormat="1" x14ac:dyDescent="0.25">
      <c r="A1714" s="40"/>
      <c r="B1714" s="43"/>
      <c r="C1714" s="9" t="s">
        <v>21</v>
      </c>
      <c r="D1714" s="17"/>
      <c r="E1714" s="9" t="s">
        <v>21</v>
      </c>
      <c r="F1714" s="17"/>
      <c r="G1714" s="9" t="s">
        <v>21</v>
      </c>
      <c r="H1714" s="17"/>
      <c r="I1714" s="28"/>
      <c r="J1714" s="28"/>
      <c r="K1714" s="28"/>
    </row>
    <row r="1715" spans="1:11" s="4" customFormat="1" x14ac:dyDescent="0.25">
      <c r="A1715" s="40"/>
      <c r="B1715" s="43"/>
      <c r="C1715" s="12" t="s">
        <v>22</v>
      </c>
      <c r="D1715" s="17">
        <v>0</v>
      </c>
      <c r="E1715" s="12" t="s">
        <v>22</v>
      </c>
      <c r="F1715" s="17">
        <v>0</v>
      </c>
      <c r="G1715" s="12" t="s">
        <v>22</v>
      </c>
      <c r="H1715" s="17">
        <v>0</v>
      </c>
      <c r="I1715" s="28"/>
      <c r="J1715" s="28"/>
      <c r="K1715" s="28"/>
    </row>
    <row r="1716" spans="1:11" s="4" customFormat="1" x14ac:dyDescent="0.25">
      <c r="A1716" s="40"/>
      <c r="B1716" s="43"/>
      <c r="C1716" s="12" t="s">
        <v>23</v>
      </c>
      <c r="D1716" s="17">
        <v>0</v>
      </c>
      <c r="E1716" s="12" t="s">
        <v>23</v>
      </c>
      <c r="F1716" s="17">
        <v>0</v>
      </c>
      <c r="G1716" s="12" t="s">
        <v>23</v>
      </c>
      <c r="H1716" s="17">
        <v>0</v>
      </c>
      <c r="I1716" s="28"/>
      <c r="J1716" s="28"/>
      <c r="K1716" s="28"/>
    </row>
    <row r="1717" spans="1:11" s="4" customFormat="1" x14ac:dyDescent="0.25">
      <c r="A1717" s="40"/>
      <c r="B1717" s="43"/>
      <c r="C1717" s="12" t="s">
        <v>24</v>
      </c>
      <c r="D1717" s="17">
        <f>250978.99/1000</f>
        <v>250.97898999999998</v>
      </c>
      <c r="E1717" s="12" t="s">
        <v>24</v>
      </c>
      <c r="F1717" s="17">
        <v>0</v>
      </c>
      <c r="G1717" s="12" t="s">
        <v>24</v>
      </c>
      <c r="H1717" s="17">
        <v>0</v>
      </c>
      <c r="I1717" s="28"/>
      <c r="J1717" s="28"/>
      <c r="K1717" s="28"/>
    </row>
    <row r="1718" spans="1:11" s="4" customFormat="1" x14ac:dyDescent="0.25">
      <c r="A1718" s="41"/>
      <c r="B1718" s="44"/>
      <c r="C1718" s="12" t="s">
        <v>25</v>
      </c>
      <c r="D1718" s="17">
        <v>0</v>
      </c>
      <c r="E1718" s="12" t="s">
        <v>25</v>
      </c>
      <c r="F1718" s="17">
        <v>0</v>
      </c>
      <c r="G1718" s="12" t="s">
        <v>25</v>
      </c>
      <c r="H1718" s="17">
        <v>0</v>
      </c>
      <c r="I1718" s="29"/>
      <c r="J1718" s="28"/>
      <c r="K1718" s="29"/>
    </row>
    <row r="1719" spans="1:11" s="4" customFormat="1" x14ac:dyDescent="0.25">
      <c r="A1719" s="39" t="s">
        <v>562</v>
      </c>
      <c r="B1719" s="42" t="s">
        <v>563</v>
      </c>
      <c r="C1719" s="9" t="s">
        <v>28</v>
      </c>
      <c r="D1719" s="17">
        <f>D1721+D1722+D1723+D1724</f>
        <v>643.97653000000003</v>
      </c>
      <c r="E1719" s="9" t="s">
        <v>28</v>
      </c>
      <c r="F1719" s="17">
        <f>F1721+F1722+F1723+F1724</f>
        <v>0</v>
      </c>
      <c r="G1719" s="9" t="s">
        <v>28</v>
      </c>
      <c r="H1719" s="17">
        <f>H1721+H1722+H1723+H1724</f>
        <v>0</v>
      </c>
      <c r="I1719" s="27" t="s">
        <v>100</v>
      </c>
      <c r="J1719" s="28"/>
      <c r="K1719" s="27" t="s">
        <v>214</v>
      </c>
    </row>
    <row r="1720" spans="1:11" s="4" customFormat="1" x14ac:dyDescent="0.25">
      <c r="A1720" s="40"/>
      <c r="B1720" s="43"/>
      <c r="C1720" s="9" t="s">
        <v>21</v>
      </c>
      <c r="D1720" s="17"/>
      <c r="E1720" s="9" t="s">
        <v>21</v>
      </c>
      <c r="F1720" s="17"/>
      <c r="G1720" s="9" t="s">
        <v>21</v>
      </c>
      <c r="H1720" s="17"/>
      <c r="I1720" s="28"/>
      <c r="J1720" s="28"/>
      <c r="K1720" s="28"/>
    </row>
    <row r="1721" spans="1:11" s="4" customFormat="1" x14ac:dyDescent="0.25">
      <c r="A1721" s="40"/>
      <c r="B1721" s="43"/>
      <c r="C1721" s="12" t="s">
        <v>22</v>
      </c>
      <c r="D1721" s="17">
        <v>0</v>
      </c>
      <c r="E1721" s="12" t="s">
        <v>22</v>
      </c>
      <c r="F1721" s="17">
        <v>0</v>
      </c>
      <c r="G1721" s="12" t="s">
        <v>22</v>
      </c>
      <c r="H1721" s="17">
        <v>0</v>
      </c>
      <c r="I1721" s="28"/>
      <c r="J1721" s="28"/>
      <c r="K1721" s="28"/>
    </row>
    <row r="1722" spans="1:11" s="4" customFormat="1" x14ac:dyDescent="0.25">
      <c r="A1722" s="40"/>
      <c r="B1722" s="43"/>
      <c r="C1722" s="12" t="s">
        <v>23</v>
      </c>
      <c r="D1722" s="17">
        <v>0</v>
      </c>
      <c r="E1722" s="12" t="s">
        <v>23</v>
      </c>
      <c r="F1722" s="17">
        <v>0</v>
      </c>
      <c r="G1722" s="12" t="s">
        <v>23</v>
      </c>
      <c r="H1722" s="17">
        <v>0</v>
      </c>
      <c r="I1722" s="28"/>
      <c r="J1722" s="28"/>
      <c r="K1722" s="28"/>
    </row>
    <row r="1723" spans="1:11" s="4" customFormat="1" x14ac:dyDescent="0.25">
      <c r="A1723" s="40"/>
      <c r="B1723" s="43"/>
      <c r="C1723" s="12" t="s">
        <v>24</v>
      </c>
      <c r="D1723" s="17">
        <f>643976.53/1000</f>
        <v>643.97653000000003</v>
      </c>
      <c r="E1723" s="12" t="s">
        <v>24</v>
      </c>
      <c r="F1723" s="17">
        <v>0</v>
      </c>
      <c r="G1723" s="12" t="s">
        <v>24</v>
      </c>
      <c r="H1723" s="17">
        <v>0</v>
      </c>
      <c r="I1723" s="28"/>
      <c r="J1723" s="28"/>
      <c r="K1723" s="28"/>
    </row>
    <row r="1724" spans="1:11" s="4" customFormat="1" x14ac:dyDescent="0.25">
      <c r="A1724" s="41"/>
      <c r="B1724" s="44"/>
      <c r="C1724" s="12" t="s">
        <v>25</v>
      </c>
      <c r="D1724" s="17">
        <v>0</v>
      </c>
      <c r="E1724" s="12" t="s">
        <v>25</v>
      </c>
      <c r="F1724" s="17">
        <v>0</v>
      </c>
      <c r="G1724" s="12" t="s">
        <v>25</v>
      </c>
      <c r="H1724" s="17">
        <v>0</v>
      </c>
      <c r="I1724" s="29"/>
      <c r="J1724" s="28"/>
      <c r="K1724" s="29"/>
    </row>
    <row r="1725" spans="1:11" s="4" customFormat="1" x14ac:dyDescent="0.25">
      <c r="A1725" s="39" t="s">
        <v>564</v>
      </c>
      <c r="B1725" s="42" t="s">
        <v>565</v>
      </c>
      <c r="C1725" s="9" t="s">
        <v>28</v>
      </c>
      <c r="D1725" s="17">
        <f>D1727+D1728+D1729+D1730</f>
        <v>130.99918</v>
      </c>
      <c r="E1725" s="9" t="s">
        <v>28</v>
      </c>
      <c r="F1725" s="17">
        <f>F1727+F1728+F1729+F1730</f>
        <v>0</v>
      </c>
      <c r="G1725" s="9" t="s">
        <v>28</v>
      </c>
      <c r="H1725" s="17">
        <f>H1727+H1728+H1729+H1730</f>
        <v>0</v>
      </c>
      <c r="I1725" s="27" t="s">
        <v>100</v>
      </c>
      <c r="J1725" s="28"/>
      <c r="K1725" s="27" t="s">
        <v>214</v>
      </c>
    </row>
    <row r="1726" spans="1:11" s="4" customFormat="1" x14ac:dyDescent="0.25">
      <c r="A1726" s="40"/>
      <c r="B1726" s="43"/>
      <c r="C1726" s="9" t="s">
        <v>21</v>
      </c>
      <c r="D1726" s="17"/>
      <c r="E1726" s="9" t="s">
        <v>21</v>
      </c>
      <c r="F1726" s="17"/>
      <c r="G1726" s="9" t="s">
        <v>21</v>
      </c>
      <c r="H1726" s="17"/>
      <c r="I1726" s="28"/>
      <c r="J1726" s="28"/>
      <c r="K1726" s="28"/>
    </row>
    <row r="1727" spans="1:11" s="4" customFormat="1" x14ac:dyDescent="0.25">
      <c r="A1727" s="40"/>
      <c r="B1727" s="43"/>
      <c r="C1727" s="12" t="s">
        <v>22</v>
      </c>
      <c r="D1727" s="17">
        <v>0</v>
      </c>
      <c r="E1727" s="12" t="s">
        <v>22</v>
      </c>
      <c r="F1727" s="17">
        <v>0</v>
      </c>
      <c r="G1727" s="12" t="s">
        <v>22</v>
      </c>
      <c r="H1727" s="17">
        <v>0</v>
      </c>
      <c r="I1727" s="28"/>
      <c r="J1727" s="28"/>
      <c r="K1727" s="28"/>
    </row>
    <row r="1728" spans="1:11" s="4" customFormat="1" x14ac:dyDescent="0.25">
      <c r="A1728" s="40"/>
      <c r="B1728" s="43"/>
      <c r="C1728" s="12" t="s">
        <v>23</v>
      </c>
      <c r="D1728" s="17">
        <v>0</v>
      </c>
      <c r="E1728" s="12" t="s">
        <v>23</v>
      </c>
      <c r="F1728" s="17">
        <v>0</v>
      </c>
      <c r="G1728" s="12" t="s">
        <v>23</v>
      </c>
      <c r="H1728" s="17">
        <v>0</v>
      </c>
      <c r="I1728" s="28"/>
      <c r="J1728" s="28"/>
      <c r="K1728" s="28"/>
    </row>
    <row r="1729" spans="1:11" s="4" customFormat="1" x14ac:dyDescent="0.25">
      <c r="A1729" s="40"/>
      <c r="B1729" s="43"/>
      <c r="C1729" s="12" t="s">
        <v>24</v>
      </c>
      <c r="D1729" s="17">
        <f>130999.18/1000</f>
        <v>130.99918</v>
      </c>
      <c r="E1729" s="12" t="s">
        <v>24</v>
      </c>
      <c r="F1729" s="17">
        <v>0</v>
      </c>
      <c r="G1729" s="12" t="s">
        <v>24</v>
      </c>
      <c r="H1729" s="17">
        <v>0</v>
      </c>
      <c r="I1729" s="28"/>
      <c r="J1729" s="28"/>
      <c r="K1729" s="28"/>
    </row>
    <row r="1730" spans="1:11" s="4" customFormat="1" x14ac:dyDescent="0.25">
      <c r="A1730" s="41"/>
      <c r="B1730" s="44"/>
      <c r="C1730" s="12" t="s">
        <v>25</v>
      </c>
      <c r="D1730" s="17">
        <v>0</v>
      </c>
      <c r="E1730" s="12" t="s">
        <v>25</v>
      </c>
      <c r="F1730" s="17">
        <v>0</v>
      </c>
      <c r="G1730" s="12" t="s">
        <v>25</v>
      </c>
      <c r="H1730" s="17">
        <v>0</v>
      </c>
      <c r="I1730" s="29"/>
      <c r="J1730" s="28"/>
      <c r="K1730" s="29"/>
    </row>
    <row r="1731" spans="1:11" s="4" customFormat="1" x14ac:dyDescent="0.25">
      <c r="A1731" s="39" t="s">
        <v>566</v>
      </c>
      <c r="B1731" s="42" t="s">
        <v>567</v>
      </c>
      <c r="C1731" s="9" t="s">
        <v>28</v>
      </c>
      <c r="D1731" s="17">
        <f>D1733+D1734+D1735+D1736</f>
        <v>250.97898999999998</v>
      </c>
      <c r="E1731" s="9" t="s">
        <v>28</v>
      </c>
      <c r="F1731" s="17">
        <f>F1733+F1734+F1735+F1736</f>
        <v>0</v>
      </c>
      <c r="G1731" s="9" t="s">
        <v>28</v>
      </c>
      <c r="H1731" s="17">
        <f>H1733+H1734+H1735+H1736</f>
        <v>0</v>
      </c>
      <c r="I1731" s="27" t="s">
        <v>100</v>
      </c>
      <c r="J1731" s="28"/>
      <c r="K1731" s="27" t="s">
        <v>214</v>
      </c>
    </row>
    <row r="1732" spans="1:11" s="4" customFormat="1" x14ac:dyDescent="0.25">
      <c r="A1732" s="40"/>
      <c r="B1732" s="43"/>
      <c r="C1732" s="9" t="s">
        <v>21</v>
      </c>
      <c r="D1732" s="17"/>
      <c r="E1732" s="9" t="s">
        <v>21</v>
      </c>
      <c r="F1732" s="17"/>
      <c r="G1732" s="9" t="s">
        <v>21</v>
      </c>
      <c r="H1732" s="17"/>
      <c r="I1732" s="28"/>
      <c r="J1732" s="28"/>
      <c r="K1732" s="28"/>
    </row>
    <row r="1733" spans="1:11" s="4" customFormat="1" x14ac:dyDescent="0.25">
      <c r="A1733" s="40"/>
      <c r="B1733" s="43"/>
      <c r="C1733" s="12" t="s">
        <v>22</v>
      </c>
      <c r="D1733" s="17">
        <v>0</v>
      </c>
      <c r="E1733" s="12" t="s">
        <v>22</v>
      </c>
      <c r="F1733" s="17">
        <v>0</v>
      </c>
      <c r="G1733" s="12" t="s">
        <v>22</v>
      </c>
      <c r="H1733" s="17">
        <v>0</v>
      </c>
      <c r="I1733" s="28"/>
      <c r="J1733" s="28"/>
      <c r="K1733" s="28"/>
    </row>
    <row r="1734" spans="1:11" s="4" customFormat="1" x14ac:dyDescent="0.25">
      <c r="A1734" s="40"/>
      <c r="B1734" s="43"/>
      <c r="C1734" s="12" t="s">
        <v>23</v>
      </c>
      <c r="D1734" s="17">
        <v>0</v>
      </c>
      <c r="E1734" s="12" t="s">
        <v>23</v>
      </c>
      <c r="F1734" s="17">
        <v>0</v>
      </c>
      <c r="G1734" s="12" t="s">
        <v>23</v>
      </c>
      <c r="H1734" s="17">
        <v>0</v>
      </c>
      <c r="I1734" s="28"/>
      <c r="J1734" s="28"/>
      <c r="K1734" s="28"/>
    </row>
    <row r="1735" spans="1:11" s="4" customFormat="1" x14ac:dyDescent="0.25">
      <c r="A1735" s="40"/>
      <c r="B1735" s="43"/>
      <c r="C1735" s="12" t="s">
        <v>24</v>
      </c>
      <c r="D1735" s="17">
        <f>250978.99/1000</f>
        <v>250.97898999999998</v>
      </c>
      <c r="E1735" s="12" t="s">
        <v>24</v>
      </c>
      <c r="F1735" s="17">
        <v>0</v>
      </c>
      <c r="G1735" s="12" t="s">
        <v>24</v>
      </c>
      <c r="H1735" s="17">
        <v>0</v>
      </c>
      <c r="I1735" s="28"/>
      <c r="J1735" s="28"/>
      <c r="K1735" s="28"/>
    </row>
    <row r="1736" spans="1:11" s="4" customFormat="1" x14ac:dyDescent="0.25">
      <c r="A1736" s="41"/>
      <c r="B1736" s="44"/>
      <c r="C1736" s="12" t="s">
        <v>25</v>
      </c>
      <c r="D1736" s="17">
        <v>0</v>
      </c>
      <c r="E1736" s="12" t="s">
        <v>25</v>
      </c>
      <c r="F1736" s="17">
        <v>0</v>
      </c>
      <c r="G1736" s="12" t="s">
        <v>25</v>
      </c>
      <c r="H1736" s="17">
        <v>0</v>
      </c>
      <c r="I1736" s="29"/>
      <c r="J1736" s="28"/>
      <c r="K1736" s="29"/>
    </row>
    <row r="1737" spans="1:11" s="4" customFormat="1" x14ac:dyDescent="0.25">
      <c r="A1737" s="39" t="s">
        <v>568</v>
      </c>
      <c r="B1737" s="42" t="s">
        <v>569</v>
      </c>
      <c r="C1737" s="9" t="s">
        <v>28</v>
      </c>
      <c r="D1737" s="17">
        <f>D1739+D1740+D1741+D1742</f>
        <v>130.99918</v>
      </c>
      <c r="E1737" s="9" t="s">
        <v>28</v>
      </c>
      <c r="F1737" s="17">
        <f>F1739+F1740+F1741+F1742</f>
        <v>0</v>
      </c>
      <c r="G1737" s="9" t="s">
        <v>28</v>
      </c>
      <c r="H1737" s="17">
        <f>H1739+H1740+H1741+H1742</f>
        <v>0</v>
      </c>
      <c r="I1737" s="27" t="s">
        <v>100</v>
      </c>
      <c r="J1737" s="28"/>
      <c r="K1737" s="27" t="s">
        <v>214</v>
      </c>
    </row>
    <row r="1738" spans="1:11" s="4" customFormat="1" x14ac:dyDescent="0.25">
      <c r="A1738" s="40"/>
      <c r="B1738" s="43"/>
      <c r="C1738" s="9" t="s">
        <v>21</v>
      </c>
      <c r="D1738" s="17"/>
      <c r="E1738" s="9" t="s">
        <v>21</v>
      </c>
      <c r="F1738" s="17"/>
      <c r="G1738" s="9" t="s">
        <v>21</v>
      </c>
      <c r="H1738" s="17"/>
      <c r="I1738" s="28"/>
      <c r="J1738" s="28"/>
      <c r="K1738" s="28"/>
    </row>
    <row r="1739" spans="1:11" s="4" customFormat="1" x14ac:dyDescent="0.25">
      <c r="A1739" s="40"/>
      <c r="B1739" s="43"/>
      <c r="C1739" s="12" t="s">
        <v>22</v>
      </c>
      <c r="D1739" s="17">
        <v>0</v>
      </c>
      <c r="E1739" s="12" t="s">
        <v>22</v>
      </c>
      <c r="F1739" s="17">
        <v>0</v>
      </c>
      <c r="G1739" s="12" t="s">
        <v>22</v>
      </c>
      <c r="H1739" s="17">
        <v>0</v>
      </c>
      <c r="I1739" s="28"/>
      <c r="J1739" s="28"/>
      <c r="K1739" s="28"/>
    </row>
    <row r="1740" spans="1:11" s="4" customFormat="1" x14ac:dyDescent="0.25">
      <c r="A1740" s="40"/>
      <c r="B1740" s="43"/>
      <c r="C1740" s="12" t="s">
        <v>23</v>
      </c>
      <c r="D1740" s="17">
        <v>0</v>
      </c>
      <c r="E1740" s="12" t="s">
        <v>23</v>
      </c>
      <c r="F1740" s="17">
        <v>0</v>
      </c>
      <c r="G1740" s="12" t="s">
        <v>23</v>
      </c>
      <c r="H1740" s="17">
        <v>0</v>
      </c>
      <c r="I1740" s="28"/>
      <c r="J1740" s="28"/>
      <c r="K1740" s="28"/>
    </row>
    <row r="1741" spans="1:11" s="4" customFormat="1" x14ac:dyDescent="0.25">
      <c r="A1741" s="40"/>
      <c r="B1741" s="43"/>
      <c r="C1741" s="12" t="s">
        <v>24</v>
      </c>
      <c r="D1741" s="17">
        <f>130999.18/1000</f>
        <v>130.99918</v>
      </c>
      <c r="E1741" s="12" t="s">
        <v>24</v>
      </c>
      <c r="F1741" s="17">
        <v>0</v>
      </c>
      <c r="G1741" s="12" t="s">
        <v>24</v>
      </c>
      <c r="H1741" s="17">
        <v>0</v>
      </c>
      <c r="I1741" s="28"/>
      <c r="J1741" s="28"/>
      <c r="K1741" s="28"/>
    </row>
    <row r="1742" spans="1:11" s="4" customFormat="1" x14ac:dyDescent="0.25">
      <c r="A1742" s="41"/>
      <c r="B1742" s="44"/>
      <c r="C1742" s="12" t="s">
        <v>25</v>
      </c>
      <c r="D1742" s="17">
        <v>0</v>
      </c>
      <c r="E1742" s="12" t="s">
        <v>25</v>
      </c>
      <c r="F1742" s="17">
        <v>0</v>
      </c>
      <c r="G1742" s="12" t="s">
        <v>25</v>
      </c>
      <c r="H1742" s="17">
        <v>0</v>
      </c>
      <c r="I1742" s="29"/>
      <c r="J1742" s="28"/>
      <c r="K1742" s="29"/>
    </row>
    <row r="1743" spans="1:11" s="4" customFormat="1" x14ac:dyDescent="0.25">
      <c r="A1743" s="39" t="s">
        <v>570</v>
      </c>
      <c r="B1743" s="42" t="s">
        <v>571</v>
      </c>
      <c r="C1743" s="9" t="s">
        <v>28</v>
      </c>
      <c r="D1743" s="17">
        <f>D1745+D1746+D1747+D1748</f>
        <v>239.95962</v>
      </c>
      <c r="E1743" s="9" t="s">
        <v>28</v>
      </c>
      <c r="F1743" s="17">
        <f>F1745+F1746+F1747+F1748</f>
        <v>0</v>
      </c>
      <c r="G1743" s="9" t="s">
        <v>28</v>
      </c>
      <c r="H1743" s="17">
        <f>H1745+H1746+H1747+H1748</f>
        <v>0</v>
      </c>
      <c r="I1743" s="27" t="s">
        <v>100</v>
      </c>
      <c r="J1743" s="28"/>
      <c r="K1743" s="27" t="s">
        <v>214</v>
      </c>
    </row>
    <row r="1744" spans="1:11" s="4" customFormat="1" x14ac:dyDescent="0.25">
      <c r="A1744" s="40"/>
      <c r="B1744" s="43"/>
      <c r="C1744" s="9" t="s">
        <v>21</v>
      </c>
      <c r="D1744" s="17"/>
      <c r="E1744" s="9" t="s">
        <v>21</v>
      </c>
      <c r="F1744" s="17"/>
      <c r="G1744" s="9" t="s">
        <v>21</v>
      </c>
      <c r="H1744" s="17"/>
      <c r="I1744" s="28"/>
      <c r="J1744" s="28"/>
      <c r="K1744" s="28"/>
    </row>
    <row r="1745" spans="1:11" s="4" customFormat="1" x14ac:dyDescent="0.25">
      <c r="A1745" s="40"/>
      <c r="B1745" s="43"/>
      <c r="C1745" s="12" t="s">
        <v>22</v>
      </c>
      <c r="D1745" s="17">
        <v>0</v>
      </c>
      <c r="E1745" s="12" t="s">
        <v>22</v>
      </c>
      <c r="F1745" s="17">
        <v>0</v>
      </c>
      <c r="G1745" s="12" t="s">
        <v>22</v>
      </c>
      <c r="H1745" s="17">
        <v>0</v>
      </c>
      <c r="I1745" s="28"/>
      <c r="J1745" s="28"/>
      <c r="K1745" s="28"/>
    </row>
    <row r="1746" spans="1:11" s="4" customFormat="1" x14ac:dyDescent="0.25">
      <c r="A1746" s="40"/>
      <c r="B1746" s="43"/>
      <c r="C1746" s="12" t="s">
        <v>23</v>
      </c>
      <c r="D1746" s="17">
        <v>0</v>
      </c>
      <c r="E1746" s="12" t="s">
        <v>23</v>
      </c>
      <c r="F1746" s="17">
        <v>0</v>
      </c>
      <c r="G1746" s="12" t="s">
        <v>23</v>
      </c>
      <c r="H1746" s="17">
        <v>0</v>
      </c>
      <c r="I1746" s="28"/>
      <c r="J1746" s="28"/>
      <c r="K1746" s="28"/>
    </row>
    <row r="1747" spans="1:11" s="4" customFormat="1" x14ac:dyDescent="0.25">
      <c r="A1747" s="40"/>
      <c r="B1747" s="43"/>
      <c r="C1747" s="12" t="s">
        <v>24</v>
      </c>
      <c r="D1747" s="17">
        <f>239959.62/1000</f>
        <v>239.95962</v>
      </c>
      <c r="E1747" s="12" t="s">
        <v>24</v>
      </c>
      <c r="F1747" s="17">
        <v>0</v>
      </c>
      <c r="G1747" s="12" t="s">
        <v>24</v>
      </c>
      <c r="H1747" s="17">
        <v>0</v>
      </c>
      <c r="I1747" s="28"/>
      <c r="J1747" s="28"/>
      <c r="K1747" s="28"/>
    </row>
    <row r="1748" spans="1:11" s="4" customFormat="1" x14ac:dyDescent="0.25">
      <c r="A1748" s="41"/>
      <c r="B1748" s="44"/>
      <c r="C1748" s="12" t="s">
        <v>25</v>
      </c>
      <c r="D1748" s="17">
        <v>0</v>
      </c>
      <c r="E1748" s="12" t="s">
        <v>25</v>
      </c>
      <c r="F1748" s="17">
        <v>0</v>
      </c>
      <c r="G1748" s="12" t="s">
        <v>25</v>
      </c>
      <c r="H1748" s="17">
        <v>0</v>
      </c>
      <c r="I1748" s="29"/>
      <c r="J1748" s="28"/>
      <c r="K1748" s="29"/>
    </row>
    <row r="1749" spans="1:11" s="4" customFormat="1" x14ac:dyDescent="0.25">
      <c r="A1749" s="39" t="s">
        <v>572</v>
      </c>
      <c r="B1749" s="42" t="s">
        <v>573</v>
      </c>
      <c r="C1749" s="9" t="s">
        <v>28</v>
      </c>
      <c r="D1749" s="17">
        <f>D1751+D1752+D1753+D1754</f>
        <v>130.99918</v>
      </c>
      <c r="E1749" s="9" t="s">
        <v>28</v>
      </c>
      <c r="F1749" s="17">
        <f>F1751+F1752+F1753+F1754</f>
        <v>0</v>
      </c>
      <c r="G1749" s="9" t="s">
        <v>28</v>
      </c>
      <c r="H1749" s="17">
        <f>H1751+H1752+H1753+H1754</f>
        <v>0</v>
      </c>
      <c r="I1749" s="27" t="s">
        <v>100</v>
      </c>
      <c r="J1749" s="28"/>
      <c r="K1749" s="27" t="s">
        <v>214</v>
      </c>
    </row>
    <row r="1750" spans="1:11" s="4" customFormat="1" x14ac:dyDescent="0.25">
      <c r="A1750" s="40"/>
      <c r="B1750" s="43"/>
      <c r="C1750" s="9" t="s">
        <v>21</v>
      </c>
      <c r="D1750" s="17"/>
      <c r="E1750" s="9" t="s">
        <v>21</v>
      </c>
      <c r="F1750" s="17"/>
      <c r="G1750" s="9" t="s">
        <v>21</v>
      </c>
      <c r="H1750" s="17"/>
      <c r="I1750" s="28"/>
      <c r="J1750" s="28"/>
      <c r="K1750" s="28"/>
    </row>
    <row r="1751" spans="1:11" s="4" customFormat="1" x14ac:dyDescent="0.25">
      <c r="A1751" s="40"/>
      <c r="B1751" s="43"/>
      <c r="C1751" s="12" t="s">
        <v>22</v>
      </c>
      <c r="D1751" s="17">
        <v>0</v>
      </c>
      <c r="E1751" s="12" t="s">
        <v>22</v>
      </c>
      <c r="F1751" s="17">
        <v>0</v>
      </c>
      <c r="G1751" s="12" t="s">
        <v>22</v>
      </c>
      <c r="H1751" s="17">
        <v>0</v>
      </c>
      <c r="I1751" s="28"/>
      <c r="J1751" s="28"/>
      <c r="K1751" s="28"/>
    </row>
    <row r="1752" spans="1:11" s="4" customFormat="1" x14ac:dyDescent="0.25">
      <c r="A1752" s="40"/>
      <c r="B1752" s="43"/>
      <c r="C1752" s="12" t="s">
        <v>23</v>
      </c>
      <c r="D1752" s="17">
        <v>0</v>
      </c>
      <c r="E1752" s="12" t="s">
        <v>23</v>
      </c>
      <c r="F1752" s="17">
        <v>0</v>
      </c>
      <c r="G1752" s="12" t="s">
        <v>23</v>
      </c>
      <c r="H1752" s="17">
        <v>0</v>
      </c>
      <c r="I1752" s="28"/>
      <c r="J1752" s="28"/>
      <c r="K1752" s="28"/>
    </row>
    <row r="1753" spans="1:11" s="4" customFormat="1" x14ac:dyDescent="0.25">
      <c r="A1753" s="40"/>
      <c r="B1753" s="43"/>
      <c r="C1753" s="12" t="s">
        <v>24</v>
      </c>
      <c r="D1753" s="17">
        <f>130999.18/1000</f>
        <v>130.99918</v>
      </c>
      <c r="E1753" s="12" t="s">
        <v>24</v>
      </c>
      <c r="F1753" s="17">
        <v>0</v>
      </c>
      <c r="G1753" s="12" t="s">
        <v>24</v>
      </c>
      <c r="H1753" s="17">
        <v>0</v>
      </c>
      <c r="I1753" s="28"/>
      <c r="J1753" s="28"/>
      <c r="K1753" s="28"/>
    </row>
    <row r="1754" spans="1:11" s="4" customFormat="1" x14ac:dyDescent="0.25">
      <c r="A1754" s="41"/>
      <c r="B1754" s="44"/>
      <c r="C1754" s="12" t="s">
        <v>25</v>
      </c>
      <c r="D1754" s="17">
        <v>0</v>
      </c>
      <c r="E1754" s="12" t="s">
        <v>25</v>
      </c>
      <c r="F1754" s="17">
        <v>0</v>
      </c>
      <c r="G1754" s="12" t="s">
        <v>25</v>
      </c>
      <c r="H1754" s="17">
        <v>0</v>
      </c>
      <c r="I1754" s="29"/>
      <c r="J1754" s="28"/>
      <c r="K1754" s="29"/>
    </row>
    <row r="1755" spans="1:11" s="4" customFormat="1" x14ac:dyDescent="0.25">
      <c r="A1755" s="39" t="s">
        <v>574</v>
      </c>
      <c r="B1755" s="42" t="s">
        <v>575</v>
      </c>
      <c r="C1755" s="9" t="s">
        <v>28</v>
      </c>
      <c r="D1755" s="17">
        <f>D1757+D1758+D1759+D1760</f>
        <v>119.97981</v>
      </c>
      <c r="E1755" s="9" t="s">
        <v>28</v>
      </c>
      <c r="F1755" s="17">
        <f>F1757+F1758+F1759+F1760</f>
        <v>0</v>
      </c>
      <c r="G1755" s="9" t="s">
        <v>28</v>
      </c>
      <c r="H1755" s="17">
        <f>H1757+H1758+H1759+H1760</f>
        <v>0</v>
      </c>
      <c r="I1755" s="27" t="s">
        <v>100</v>
      </c>
      <c r="J1755" s="28"/>
      <c r="K1755" s="27" t="s">
        <v>214</v>
      </c>
    </row>
    <row r="1756" spans="1:11" s="4" customFormat="1" x14ac:dyDescent="0.25">
      <c r="A1756" s="40"/>
      <c r="B1756" s="43"/>
      <c r="C1756" s="9" t="s">
        <v>21</v>
      </c>
      <c r="D1756" s="17"/>
      <c r="E1756" s="9" t="s">
        <v>21</v>
      </c>
      <c r="F1756" s="17"/>
      <c r="G1756" s="9" t="s">
        <v>21</v>
      </c>
      <c r="H1756" s="17"/>
      <c r="I1756" s="28"/>
      <c r="J1756" s="28"/>
      <c r="K1756" s="28"/>
    </row>
    <row r="1757" spans="1:11" s="4" customFormat="1" x14ac:dyDescent="0.25">
      <c r="A1757" s="40"/>
      <c r="B1757" s="43"/>
      <c r="C1757" s="12" t="s">
        <v>22</v>
      </c>
      <c r="D1757" s="17">
        <v>0</v>
      </c>
      <c r="E1757" s="12" t="s">
        <v>22</v>
      </c>
      <c r="F1757" s="17">
        <v>0</v>
      </c>
      <c r="G1757" s="12" t="s">
        <v>22</v>
      </c>
      <c r="H1757" s="17">
        <v>0</v>
      </c>
      <c r="I1757" s="28"/>
      <c r="J1757" s="28"/>
      <c r="K1757" s="28"/>
    </row>
    <row r="1758" spans="1:11" s="4" customFormat="1" x14ac:dyDescent="0.25">
      <c r="A1758" s="40"/>
      <c r="B1758" s="43"/>
      <c r="C1758" s="12" t="s">
        <v>23</v>
      </c>
      <c r="D1758" s="17">
        <v>0</v>
      </c>
      <c r="E1758" s="12" t="s">
        <v>23</v>
      </c>
      <c r="F1758" s="17">
        <v>0</v>
      </c>
      <c r="G1758" s="12" t="s">
        <v>23</v>
      </c>
      <c r="H1758" s="17">
        <v>0</v>
      </c>
      <c r="I1758" s="28"/>
      <c r="J1758" s="28"/>
      <c r="K1758" s="28"/>
    </row>
    <row r="1759" spans="1:11" s="4" customFormat="1" x14ac:dyDescent="0.25">
      <c r="A1759" s="40"/>
      <c r="B1759" s="43"/>
      <c r="C1759" s="12" t="s">
        <v>24</v>
      </c>
      <c r="D1759" s="17">
        <f>119979.81/1000</f>
        <v>119.97981</v>
      </c>
      <c r="E1759" s="12" t="s">
        <v>24</v>
      </c>
      <c r="F1759" s="17">
        <v>0</v>
      </c>
      <c r="G1759" s="12" t="s">
        <v>24</v>
      </c>
      <c r="H1759" s="17">
        <v>0</v>
      </c>
      <c r="I1759" s="28"/>
      <c r="J1759" s="28"/>
      <c r="K1759" s="28"/>
    </row>
    <row r="1760" spans="1:11" s="4" customFormat="1" x14ac:dyDescent="0.25">
      <c r="A1760" s="41"/>
      <c r="B1760" s="44"/>
      <c r="C1760" s="12" t="s">
        <v>25</v>
      </c>
      <c r="D1760" s="17">
        <v>0</v>
      </c>
      <c r="E1760" s="12" t="s">
        <v>25</v>
      </c>
      <c r="F1760" s="17">
        <v>0</v>
      </c>
      <c r="G1760" s="12" t="s">
        <v>25</v>
      </c>
      <c r="H1760" s="17">
        <v>0</v>
      </c>
      <c r="I1760" s="29"/>
      <c r="J1760" s="28"/>
      <c r="K1760" s="29"/>
    </row>
    <row r="1761" spans="1:11" s="4" customFormat="1" x14ac:dyDescent="0.25">
      <c r="A1761" s="39" t="s">
        <v>576</v>
      </c>
      <c r="B1761" s="42" t="s">
        <v>577</v>
      </c>
      <c r="C1761" s="9" t="s">
        <v>28</v>
      </c>
      <c r="D1761" s="17">
        <f>D1763+D1764+D1765+D1766</f>
        <v>216.76667</v>
      </c>
      <c r="E1761" s="9" t="s">
        <v>28</v>
      </c>
      <c r="F1761" s="17">
        <f>F1763+F1764+F1765+F1766</f>
        <v>0</v>
      </c>
      <c r="G1761" s="9" t="s">
        <v>28</v>
      </c>
      <c r="H1761" s="17">
        <f>H1763+H1764+H1765+H1766</f>
        <v>0</v>
      </c>
      <c r="I1761" s="27" t="s">
        <v>100</v>
      </c>
      <c r="J1761" s="28"/>
      <c r="K1761" s="27" t="s">
        <v>214</v>
      </c>
    </row>
    <row r="1762" spans="1:11" s="4" customFormat="1" x14ac:dyDescent="0.25">
      <c r="A1762" s="40"/>
      <c r="B1762" s="43"/>
      <c r="C1762" s="9" t="s">
        <v>21</v>
      </c>
      <c r="D1762" s="17"/>
      <c r="E1762" s="9" t="s">
        <v>21</v>
      </c>
      <c r="F1762" s="17"/>
      <c r="G1762" s="9" t="s">
        <v>21</v>
      </c>
      <c r="H1762" s="17"/>
      <c r="I1762" s="28"/>
      <c r="J1762" s="28"/>
      <c r="K1762" s="28"/>
    </row>
    <row r="1763" spans="1:11" s="4" customFormat="1" x14ac:dyDescent="0.25">
      <c r="A1763" s="40"/>
      <c r="B1763" s="43"/>
      <c r="C1763" s="12" t="s">
        <v>22</v>
      </c>
      <c r="D1763" s="17">
        <v>0</v>
      </c>
      <c r="E1763" s="12" t="s">
        <v>22</v>
      </c>
      <c r="F1763" s="17">
        <v>0</v>
      </c>
      <c r="G1763" s="12" t="s">
        <v>22</v>
      </c>
      <c r="H1763" s="17">
        <v>0</v>
      </c>
      <c r="I1763" s="28"/>
      <c r="J1763" s="28"/>
      <c r="K1763" s="28"/>
    </row>
    <row r="1764" spans="1:11" s="4" customFormat="1" x14ac:dyDescent="0.25">
      <c r="A1764" s="40"/>
      <c r="B1764" s="43"/>
      <c r="C1764" s="12" t="s">
        <v>23</v>
      </c>
      <c r="D1764" s="17">
        <v>0</v>
      </c>
      <c r="E1764" s="12" t="s">
        <v>23</v>
      </c>
      <c r="F1764" s="17">
        <v>0</v>
      </c>
      <c r="G1764" s="12" t="s">
        <v>23</v>
      </c>
      <c r="H1764" s="17">
        <v>0</v>
      </c>
      <c r="I1764" s="28"/>
      <c r="J1764" s="28"/>
      <c r="K1764" s="28"/>
    </row>
    <row r="1765" spans="1:11" s="4" customFormat="1" x14ac:dyDescent="0.25">
      <c r="A1765" s="40"/>
      <c r="B1765" s="43"/>
      <c r="C1765" s="12" t="s">
        <v>24</v>
      </c>
      <c r="D1765" s="17">
        <f>216766.67/1000</f>
        <v>216.76667</v>
      </c>
      <c r="E1765" s="12" t="s">
        <v>24</v>
      </c>
      <c r="F1765" s="17">
        <v>0</v>
      </c>
      <c r="G1765" s="12" t="s">
        <v>24</v>
      </c>
      <c r="H1765" s="17">
        <v>0</v>
      </c>
      <c r="I1765" s="28"/>
      <c r="J1765" s="28"/>
      <c r="K1765" s="28"/>
    </row>
    <row r="1766" spans="1:11" s="4" customFormat="1" x14ac:dyDescent="0.25">
      <c r="A1766" s="41"/>
      <c r="B1766" s="44"/>
      <c r="C1766" s="12" t="s">
        <v>25</v>
      </c>
      <c r="D1766" s="17">
        <v>0</v>
      </c>
      <c r="E1766" s="12" t="s">
        <v>25</v>
      </c>
      <c r="F1766" s="17">
        <v>0</v>
      </c>
      <c r="G1766" s="12" t="s">
        <v>25</v>
      </c>
      <c r="H1766" s="17">
        <v>0</v>
      </c>
      <c r="I1766" s="29"/>
      <c r="J1766" s="28"/>
      <c r="K1766" s="29"/>
    </row>
    <row r="1767" spans="1:11" s="4" customFormat="1" x14ac:dyDescent="0.25">
      <c r="A1767" s="39" t="s">
        <v>578</v>
      </c>
      <c r="B1767" s="42" t="s">
        <v>579</v>
      </c>
      <c r="C1767" s="9" t="s">
        <v>28</v>
      </c>
      <c r="D1767" s="17">
        <f>D1769+D1770+D1771+D1772</f>
        <v>32</v>
      </c>
      <c r="E1767" s="9" t="s">
        <v>28</v>
      </c>
      <c r="F1767" s="17">
        <f>F1769+F1770+F1771+F1772</f>
        <v>0</v>
      </c>
      <c r="G1767" s="9" t="s">
        <v>28</v>
      </c>
      <c r="H1767" s="17">
        <f>H1769+H1770+H1771+H1772</f>
        <v>0</v>
      </c>
      <c r="I1767" s="27" t="s">
        <v>100</v>
      </c>
      <c r="J1767" s="28"/>
      <c r="K1767" s="27" t="s">
        <v>214</v>
      </c>
    </row>
    <row r="1768" spans="1:11" s="4" customFormat="1" x14ac:dyDescent="0.25">
      <c r="A1768" s="40"/>
      <c r="B1768" s="43"/>
      <c r="C1768" s="9" t="s">
        <v>21</v>
      </c>
      <c r="D1768" s="17"/>
      <c r="E1768" s="9" t="s">
        <v>21</v>
      </c>
      <c r="F1768" s="17"/>
      <c r="G1768" s="9" t="s">
        <v>21</v>
      </c>
      <c r="H1768" s="17"/>
      <c r="I1768" s="28"/>
      <c r="J1768" s="28"/>
      <c r="K1768" s="28"/>
    </row>
    <row r="1769" spans="1:11" s="4" customFormat="1" x14ac:dyDescent="0.25">
      <c r="A1769" s="40"/>
      <c r="B1769" s="43"/>
      <c r="C1769" s="12" t="s">
        <v>22</v>
      </c>
      <c r="D1769" s="17">
        <v>0</v>
      </c>
      <c r="E1769" s="12" t="s">
        <v>22</v>
      </c>
      <c r="F1769" s="17">
        <v>0</v>
      </c>
      <c r="G1769" s="12" t="s">
        <v>22</v>
      </c>
      <c r="H1769" s="17">
        <v>0</v>
      </c>
      <c r="I1769" s="28"/>
      <c r="J1769" s="28"/>
      <c r="K1769" s="28"/>
    </row>
    <row r="1770" spans="1:11" s="4" customFormat="1" x14ac:dyDescent="0.25">
      <c r="A1770" s="40"/>
      <c r="B1770" s="43"/>
      <c r="C1770" s="12" t="s">
        <v>23</v>
      </c>
      <c r="D1770" s="17">
        <v>0</v>
      </c>
      <c r="E1770" s="12" t="s">
        <v>23</v>
      </c>
      <c r="F1770" s="17">
        <v>0</v>
      </c>
      <c r="G1770" s="12" t="s">
        <v>23</v>
      </c>
      <c r="H1770" s="17">
        <v>0</v>
      </c>
      <c r="I1770" s="28"/>
      <c r="J1770" s="28"/>
      <c r="K1770" s="28"/>
    </row>
    <row r="1771" spans="1:11" s="4" customFormat="1" x14ac:dyDescent="0.25">
      <c r="A1771" s="40"/>
      <c r="B1771" s="43"/>
      <c r="C1771" s="12" t="s">
        <v>24</v>
      </c>
      <c r="D1771" s="17">
        <f>32000/1000</f>
        <v>32</v>
      </c>
      <c r="E1771" s="12" t="s">
        <v>24</v>
      </c>
      <c r="F1771" s="17">
        <v>0</v>
      </c>
      <c r="G1771" s="12" t="s">
        <v>24</v>
      </c>
      <c r="H1771" s="17">
        <v>0</v>
      </c>
      <c r="I1771" s="28"/>
      <c r="J1771" s="28"/>
      <c r="K1771" s="28"/>
    </row>
    <row r="1772" spans="1:11" s="4" customFormat="1" x14ac:dyDescent="0.25">
      <c r="A1772" s="41"/>
      <c r="B1772" s="44"/>
      <c r="C1772" s="12" t="s">
        <v>25</v>
      </c>
      <c r="D1772" s="17">
        <v>0</v>
      </c>
      <c r="E1772" s="12" t="s">
        <v>25</v>
      </c>
      <c r="F1772" s="17">
        <v>0</v>
      </c>
      <c r="G1772" s="12" t="s">
        <v>25</v>
      </c>
      <c r="H1772" s="17">
        <v>0</v>
      </c>
      <c r="I1772" s="29"/>
      <c r="J1772" s="28"/>
      <c r="K1772" s="29"/>
    </row>
    <row r="1773" spans="1:11" s="4" customFormat="1" x14ac:dyDescent="0.25">
      <c r="A1773" s="39" t="s">
        <v>580</v>
      </c>
      <c r="B1773" s="42" t="s">
        <v>581</v>
      </c>
      <c r="C1773" s="9" t="s">
        <v>28</v>
      </c>
      <c r="D1773" s="17">
        <f>D1775+D1776+D1777+D1778</f>
        <v>2106.2597400000004</v>
      </c>
      <c r="E1773" s="9" t="s">
        <v>28</v>
      </c>
      <c r="F1773" s="17">
        <f>F1775+F1776+F1777+F1778</f>
        <v>0</v>
      </c>
      <c r="G1773" s="9" t="s">
        <v>28</v>
      </c>
      <c r="H1773" s="17">
        <f>H1775+H1776+H1777+H1778</f>
        <v>0</v>
      </c>
      <c r="I1773" s="27" t="s">
        <v>100</v>
      </c>
      <c r="J1773" s="28"/>
      <c r="K1773" s="27" t="s">
        <v>214</v>
      </c>
    </row>
    <row r="1774" spans="1:11" s="4" customFormat="1" x14ac:dyDescent="0.25">
      <c r="A1774" s="40"/>
      <c r="B1774" s="43"/>
      <c r="C1774" s="9" t="s">
        <v>21</v>
      </c>
      <c r="D1774" s="17"/>
      <c r="E1774" s="9" t="s">
        <v>21</v>
      </c>
      <c r="F1774" s="17"/>
      <c r="G1774" s="9" t="s">
        <v>21</v>
      </c>
      <c r="H1774" s="17"/>
      <c r="I1774" s="28"/>
      <c r="J1774" s="28"/>
      <c r="K1774" s="28"/>
    </row>
    <row r="1775" spans="1:11" s="4" customFormat="1" x14ac:dyDescent="0.25">
      <c r="A1775" s="40"/>
      <c r="B1775" s="43"/>
      <c r="C1775" s="12" t="s">
        <v>22</v>
      </c>
      <c r="D1775" s="17">
        <v>0</v>
      </c>
      <c r="E1775" s="12" t="s">
        <v>22</v>
      </c>
      <c r="F1775" s="17">
        <v>0</v>
      </c>
      <c r="G1775" s="12" t="s">
        <v>22</v>
      </c>
      <c r="H1775" s="17">
        <v>0</v>
      </c>
      <c r="I1775" s="28"/>
      <c r="J1775" s="28"/>
      <c r="K1775" s="28"/>
    </row>
    <row r="1776" spans="1:11" s="4" customFormat="1" x14ac:dyDescent="0.25">
      <c r="A1776" s="40"/>
      <c r="B1776" s="43"/>
      <c r="C1776" s="12" t="s">
        <v>23</v>
      </c>
      <c r="D1776" s="17">
        <v>0</v>
      </c>
      <c r="E1776" s="12" t="s">
        <v>23</v>
      </c>
      <c r="F1776" s="17">
        <v>0</v>
      </c>
      <c r="G1776" s="12" t="s">
        <v>23</v>
      </c>
      <c r="H1776" s="17">
        <v>0</v>
      </c>
      <c r="I1776" s="28"/>
      <c r="J1776" s="28"/>
      <c r="K1776" s="28"/>
    </row>
    <row r="1777" spans="1:11" s="4" customFormat="1" x14ac:dyDescent="0.25">
      <c r="A1777" s="40"/>
      <c r="B1777" s="43"/>
      <c r="C1777" s="12" t="s">
        <v>24</v>
      </c>
      <c r="D1777" s="17">
        <f>2106259.74/1000</f>
        <v>2106.2597400000004</v>
      </c>
      <c r="E1777" s="12" t="s">
        <v>24</v>
      </c>
      <c r="F1777" s="17">
        <v>0</v>
      </c>
      <c r="G1777" s="12" t="s">
        <v>24</v>
      </c>
      <c r="H1777" s="17">
        <v>0</v>
      </c>
      <c r="I1777" s="28"/>
      <c r="J1777" s="28"/>
      <c r="K1777" s="28"/>
    </row>
    <row r="1778" spans="1:11" s="4" customFormat="1" x14ac:dyDescent="0.25">
      <c r="A1778" s="41"/>
      <c r="B1778" s="44"/>
      <c r="C1778" s="12" t="s">
        <v>25</v>
      </c>
      <c r="D1778" s="17">
        <v>0</v>
      </c>
      <c r="E1778" s="12" t="s">
        <v>25</v>
      </c>
      <c r="F1778" s="17">
        <v>0</v>
      </c>
      <c r="G1778" s="12" t="s">
        <v>25</v>
      </c>
      <c r="H1778" s="17">
        <v>0</v>
      </c>
      <c r="I1778" s="29"/>
      <c r="J1778" s="28"/>
      <c r="K1778" s="29"/>
    </row>
    <row r="1779" spans="1:11" s="4" customFormat="1" x14ac:dyDescent="0.25">
      <c r="A1779" s="39" t="s">
        <v>582</v>
      </c>
      <c r="B1779" s="42" t="s">
        <v>583</v>
      </c>
      <c r="C1779" s="9" t="s">
        <v>28</v>
      </c>
      <c r="D1779" s="17">
        <f>D1781+D1782+D1783+D1784</f>
        <v>3727.10142</v>
      </c>
      <c r="E1779" s="9" t="s">
        <v>28</v>
      </c>
      <c r="F1779" s="17">
        <f>F1781+F1782+F1783+F1784</f>
        <v>0</v>
      </c>
      <c r="G1779" s="9" t="s">
        <v>28</v>
      </c>
      <c r="H1779" s="17">
        <f>H1781+H1782+H1783+H1784</f>
        <v>0</v>
      </c>
      <c r="I1779" s="27" t="s">
        <v>100</v>
      </c>
      <c r="J1779" s="28"/>
      <c r="K1779" s="27" t="s">
        <v>214</v>
      </c>
    </row>
    <row r="1780" spans="1:11" s="4" customFormat="1" x14ac:dyDescent="0.25">
      <c r="A1780" s="40"/>
      <c r="B1780" s="43"/>
      <c r="C1780" s="9" t="s">
        <v>21</v>
      </c>
      <c r="D1780" s="17"/>
      <c r="E1780" s="9" t="s">
        <v>21</v>
      </c>
      <c r="F1780" s="17"/>
      <c r="G1780" s="9" t="s">
        <v>21</v>
      </c>
      <c r="H1780" s="17"/>
      <c r="I1780" s="28"/>
      <c r="J1780" s="28"/>
      <c r="K1780" s="28"/>
    </row>
    <row r="1781" spans="1:11" s="4" customFormat="1" x14ac:dyDescent="0.25">
      <c r="A1781" s="40"/>
      <c r="B1781" s="43"/>
      <c r="C1781" s="12" t="s">
        <v>22</v>
      </c>
      <c r="D1781" s="17">
        <v>0</v>
      </c>
      <c r="E1781" s="12" t="s">
        <v>22</v>
      </c>
      <c r="F1781" s="17">
        <v>0</v>
      </c>
      <c r="G1781" s="12" t="s">
        <v>22</v>
      </c>
      <c r="H1781" s="17">
        <v>0</v>
      </c>
      <c r="I1781" s="28"/>
      <c r="J1781" s="28"/>
      <c r="K1781" s="28"/>
    </row>
    <row r="1782" spans="1:11" s="4" customFormat="1" x14ac:dyDescent="0.25">
      <c r="A1782" s="40"/>
      <c r="B1782" s="43"/>
      <c r="C1782" s="12" t="s">
        <v>23</v>
      </c>
      <c r="D1782" s="17">
        <v>0</v>
      </c>
      <c r="E1782" s="12" t="s">
        <v>23</v>
      </c>
      <c r="F1782" s="17">
        <v>0</v>
      </c>
      <c r="G1782" s="12" t="s">
        <v>23</v>
      </c>
      <c r="H1782" s="17">
        <v>0</v>
      </c>
      <c r="I1782" s="28"/>
      <c r="J1782" s="28"/>
      <c r="K1782" s="28"/>
    </row>
    <row r="1783" spans="1:11" s="4" customFormat="1" x14ac:dyDescent="0.25">
      <c r="A1783" s="40"/>
      <c r="B1783" s="43"/>
      <c r="C1783" s="12" t="s">
        <v>24</v>
      </c>
      <c r="D1783" s="17">
        <f>3727101.42/1000</f>
        <v>3727.10142</v>
      </c>
      <c r="E1783" s="12" t="s">
        <v>24</v>
      </c>
      <c r="F1783" s="17">
        <v>0</v>
      </c>
      <c r="G1783" s="12" t="s">
        <v>24</v>
      </c>
      <c r="H1783" s="17">
        <v>0</v>
      </c>
      <c r="I1783" s="28"/>
      <c r="J1783" s="28"/>
      <c r="K1783" s="28"/>
    </row>
    <row r="1784" spans="1:11" s="4" customFormat="1" x14ac:dyDescent="0.25">
      <c r="A1784" s="41"/>
      <c r="B1784" s="44"/>
      <c r="C1784" s="12" t="s">
        <v>25</v>
      </c>
      <c r="D1784" s="17">
        <v>0</v>
      </c>
      <c r="E1784" s="12" t="s">
        <v>25</v>
      </c>
      <c r="F1784" s="17">
        <v>0</v>
      </c>
      <c r="G1784" s="12" t="s">
        <v>25</v>
      </c>
      <c r="H1784" s="17">
        <v>0</v>
      </c>
      <c r="I1784" s="29"/>
      <c r="J1784" s="28"/>
      <c r="K1784" s="29"/>
    </row>
    <row r="1785" spans="1:11" s="4" customFormat="1" x14ac:dyDescent="0.25">
      <c r="A1785" s="39" t="s">
        <v>584</v>
      </c>
      <c r="B1785" s="42" t="s">
        <v>585</v>
      </c>
      <c r="C1785" s="9" t="s">
        <v>28</v>
      </c>
      <c r="D1785" s="17">
        <f>D1787+D1788+D1789+D1790</f>
        <v>35</v>
      </c>
      <c r="E1785" s="9" t="s">
        <v>28</v>
      </c>
      <c r="F1785" s="17">
        <f>F1787+F1788+F1789+F1790</f>
        <v>0</v>
      </c>
      <c r="G1785" s="9" t="s">
        <v>28</v>
      </c>
      <c r="H1785" s="17">
        <f>H1787+H1788+H1789+H1790</f>
        <v>0</v>
      </c>
      <c r="I1785" s="27" t="s">
        <v>100</v>
      </c>
      <c r="J1785" s="28"/>
      <c r="K1785" s="27" t="s">
        <v>214</v>
      </c>
    </row>
    <row r="1786" spans="1:11" s="4" customFormat="1" x14ac:dyDescent="0.25">
      <c r="A1786" s="40"/>
      <c r="B1786" s="43"/>
      <c r="C1786" s="9" t="s">
        <v>21</v>
      </c>
      <c r="D1786" s="17"/>
      <c r="E1786" s="9" t="s">
        <v>21</v>
      </c>
      <c r="F1786" s="17"/>
      <c r="G1786" s="9" t="s">
        <v>21</v>
      </c>
      <c r="H1786" s="17"/>
      <c r="I1786" s="28"/>
      <c r="J1786" s="28"/>
      <c r="K1786" s="28"/>
    </row>
    <row r="1787" spans="1:11" s="4" customFormat="1" x14ac:dyDescent="0.25">
      <c r="A1787" s="40"/>
      <c r="B1787" s="43"/>
      <c r="C1787" s="12" t="s">
        <v>22</v>
      </c>
      <c r="D1787" s="17">
        <v>0</v>
      </c>
      <c r="E1787" s="12" t="s">
        <v>22</v>
      </c>
      <c r="F1787" s="17">
        <v>0</v>
      </c>
      <c r="G1787" s="12" t="s">
        <v>22</v>
      </c>
      <c r="H1787" s="17">
        <v>0</v>
      </c>
      <c r="I1787" s="28"/>
      <c r="J1787" s="28"/>
      <c r="K1787" s="28"/>
    </row>
    <row r="1788" spans="1:11" s="4" customFormat="1" x14ac:dyDescent="0.25">
      <c r="A1788" s="40"/>
      <c r="B1788" s="43"/>
      <c r="C1788" s="12" t="s">
        <v>23</v>
      </c>
      <c r="D1788" s="17">
        <v>0</v>
      </c>
      <c r="E1788" s="12" t="s">
        <v>23</v>
      </c>
      <c r="F1788" s="17">
        <v>0</v>
      </c>
      <c r="G1788" s="12" t="s">
        <v>23</v>
      </c>
      <c r="H1788" s="17">
        <v>0</v>
      </c>
      <c r="I1788" s="28"/>
      <c r="J1788" s="28"/>
      <c r="K1788" s="28"/>
    </row>
    <row r="1789" spans="1:11" s="4" customFormat="1" x14ac:dyDescent="0.25">
      <c r="A1789" s="40"/>
      <c r="B1789" s="43"/>
      <c r="C1789" s="12" t="s">
        <v>24</v>
      </c>
      <c r="D1789" s="17">
        <f>35000/1000</f>
        <v>35</v>
      </c>
      <c r="E1789" s="12" t="s">
        <v>24</v>
      </c>
      <c r="F1789" s="17">
        <v>0</v>
      </c>
      <c r="G1789" s="12" t="s">
        <v>24</v>
      </c>
      <c r="H1789" s="17">
        <v>0</v>
      </c>
      <c r="I1789" s="28"/>
      <c r="J1789" s="28"/>
      <c r="K1789" s="28"/>
    </row>
    <row r="1790" spans="1:11" s="4" customFormat="1" x14ac:dyDescent="0.25">
      <c r="A1790" s="41"/>
      <c r="B1790" s="44"/>
      <c r="C1790" s="12" t="s">
        <v>25</v>
      </c>
      <c r="D1790" s="17">
        <v>0</v>
      </c>
      <c r="E1790" s="12" t="s">
        <v>25</v>
      </c>
      <c r="F1790" s="17">
        <v>0</v>
      </c>
      <c r="G1790" s="12" t="s">
        <v>25</v>
      </c>
      <c r="H1790" s="17">
        <v>0</v>
      </c>
      <c r="I1790" s="29"/>
      <c r="J1790" s="28"/>
      <c r="K1790" s="29"/>
    </row>
    <row r="1791" spans="1:11" s="4" customFormat="1" x14ac:dyDescent="0.25">
      <c r="A1791" s="39" t="s">
        <v>586</v>
      </c>
      <c r="B1791" s="42" t="s">
        <v>587</v>
      </c>
      <c r="C1791" s="9" t="s">
        <v>28</v>
      </c>
      <c r="D1791" s="17">
        <f>D1793+D1794+D1795+D1796</f>
        <v>1967.2924800000001</v>
      </c>
      <c r="E1791" s="9" t="s">
        <v>28</v>
      </c>
      <c r="F1791" s="17">
        <f>F1793+F1794+F1795+F1796</f>
        <v>0</v>
      </c>
      <c r="G1791" s="9" t="s">
        <v>28</v>
      </c>
      <c r="H1791" s="17">
        <f>H1793+H1794+H1795+H1796</f>
        <v>0</v>
      </c>
      <c r="I1791" s="27" t="s">
        <v>100</v>
      </c>
      <c r="J1791" s="28"/>
      <c r="K1791" s="27" t="s">
        <v>214</v>
      </c>
    </row>
    <row r="1792" spans="1:11" s="4" customFormat="1" x14ac:dyDescent="0.25">
      <c r="A1792" s="40"/>
      <c r="B1792" s="43"/>
      <c r="C1792" s="9" t="s">
        <v>21</v>
      </c>
      <c r="D1792" s="17"/>
      <c r="E1792" s="9" t="s">
        <v>21</v>
      </c>
      <c r="F1792" s="17"/>
      <c r="G1792" s="9" t="s">
        <v>21</v>
      </c>
      <c r="H1792" s="17"/>
      <c r="I1792" s="28"/>
      <c r="J1792" s="28"/>
      <c r="K1792" s="28"/>
    </row>
    <row r="1793" spans="1:11" s="4" customFormat="1" x14ac:dyDescent="0.25">
      <c r="A1793" s="40"/>
      <c r="B1793" s="43"/>
      <c r="C1793" s="12" t="s">
        <v>22</v>
      </c>
      <c r="D1793" s="17">
        <v>0</v>
      </c>
      <c r="E1793" s="12" t="s">
        <v>22</v>
      </c>
      <c r="F1793" s="17">
        <v>0</v>
      </c>
      <c r="G1793" s="12" t="s">
        <v>22</v>
      </c>
      <c r="H1793" s="17">
        <v>0</v>
      </c>
      <c r="I1793" s="28"/>
      <c r="J1793" s="28"/>
      <c r="K1793" s="28"/>
    </row>
    <row r="1794" spans="1:11" s="4" customFormat="1" x14ac:dyDescent="0.25">
      <c r="A1794" s="40"/>
      <c r="B1794" s="43"/>
      <c r="C1794" s="12" t="s">
        <v>23</v>
      </c>
      <c r="D1794" s="17">
        <v>0</v>
      </c>
      <c r="E1794" s="12" t="s">
        <v>23</v>
      </c>
      <c r="F1794" s="17">
        <v>0</v>
      </c>
      <c r="G1794" s="12" t="s">
        <v>23</v>
      </c>
      <c r="H1794" s="17">
        <v>0</v>
      </c>
      <c r="I1794" s="28"/>
      <c r="J1794" s="28"/>
      <c r="K1794" s="28"/>
    </row>
    <row r="1795" spans="1:11" s="4" customFormat="1" x14ac:dyDescent="0.25">
      <c r="A1795" s="40"/>
      <c r="B1795" s="43"/>
      <c r="C1795" s="12" t="s">
        <v>24</v>
      </c>
      <c r="D1795" s="17">
        <f>1967292.48/1000</f>
        <v>1967.2924800000001</v>
      </c>
      <c r="E1795" s="12" t="s">
        <v>24</v>
      </c>
      <c r="F1795" s="17">
        <v>0</v>
      </c>
      <c r="G1795" s="12" t="s">
        <v>24</v>
      </c>
      <c r="H1795" s="17">
        <v>0</v>
      </c>
      <c r="I1795" s="28"/>
      <c r="J1795" s="28"/>
      <c r="K1795" s="28"/>
    </row>
    <row r="1796" spans="1:11" s="4" customFormat="1" x14ac:dyDescent="0.25">
      <c r="A1796" s="41"/>
      <c r="B1796" s="44"/>
      <c r="C1796" s="12" t="s">
        <v>25</v>
      </c>
      <c r="D1796" s="17">
        <v>0</v>
      </c>
      <c r="E1796" s="12" t="s">
        <v>25</v>
      </c>
      <c r="F1796" s="17">
        <v>0</v>
      </c>
      <c r="G1796" s="12" t="s">
        <v>25</v>
      </c>
      <c r="H1796" s="17">
        <v>0</v>
      </c>
      <c r="I1796" s="29"/>
      <c r="J1796" s="28"/>
      <c r="K1796" s="29"/>
    </row>
    <row r="1797" spans="1:11" s="4" customFormat="1" x14ac:dyDescent="0.25">
      <c r="A1797" s="39" t="s">
        <v>588</v>
      </c>
      <c r="B1797" s="42" t="s">
        <v>589</v>
      </c>
      <c r="C1797" s="9" t="s">
        <v>28</v>
      </c>
      <c r="D1797" s="17">
        <f>D1799+D1800+D1801+D1802</f>
        <v>120.37826</v>
      </c>
      <c r="E1797" s="9" t="s">
        <v>28</v>
      </c>
      <c r="F1797" s="17">
        <f>F1799+F1800+F1801+F1802</f>
        <v>0</v>
      </c>
      <c r="G1797" s="9" t="s">
        <v>28</v>
      </c>
      <c r="H1797" s="17">
        <f>H1799+H1800+H1801+H1802</f>
        <v>0</v>
      </c>
      <c r="I1797" s="27" t="s">
        <v>100</v>
      </c>
      <c r="J1797" s="28"/>
      <c r="K1797" s="27" t="s">
        <v>214</v>
      </c>
    </row>
    <row r="1798" spans="1:11" s="4" customFormat="1" x14ac:dyDescent="0.25">
      <c r="A1798" s="40"/>
      <c r="B1798" s="43"/>
      <c r="C1798" s="9" t="s">
        <v>21</v>
      </c>
      <c r="D1798" s="17"/>
      <c r="E1798" s="9" t="s">
        <v>21</v>
      </c>
      <c r="F1798" s="17"/>
      <c r="G1798" s="9" t="s">
        <v>21</v>
      </c>
      <c r="H1798" s="17"/>
      <c r="I1798" s="28"/>
      <c r="J1798" s="28"/>
      <c r="K1798" s="28"/>
    </row>
    <row r="1799" spans="1:11" s="4" customFormat="1" x14ac:dyDescent="0.25">
      <c r="A1799" s="40"/>
      <c r="B1799" s="43"/>
      <c r="C1799" s="12" t="s">
        <v>22</v>
      </c>
      <c r="D1799" s="17">
        <v>0</v>
      </c>
      <c r="E1799" s="12" t="s">
        <v>22</v>
      </c>
      <c r="F1799" s="17">
        <v>0</v>
      </c>
      <c r="G1799" s="12" t="s">
        <v>22</v>
      </c>
      <c r="H1799" s="17">
        <v>0</v>
      </c>
      <c r="I1799" s="28"/>
      <c r="J1799" s="28"/>
      <c r="K1799" s="28"/>
    </row>
    <row r="1800" spans="1:11" s="4" customFormat="1" x14ac:dyDescent="0.25">
      <c r="A1800" s="40"/>
      <c r="B1800" s="43"/>
      <c r="C1800" s="12" t="s">
        <v>23</v>
      </c>
      <c r="D1800" s="17">
        <v>0</v>
      </c>
      <c r="E1800" s="12" t="s">
        <v>23</v>
      </c>
      <c r="F1800" s="17">
        <v>0</v>
      </c>
      <c r="G1800" s="12" t="s">
        <v>23</v>
      </c>
      <c r="H1800" s="17">
        <v>0</v>
      </c>
      <c r="I1800" s="28"/>
      <c r="J1800" s="28"/>
      <c r="K1800" s="28"/>
    </row>
    <row r="1801" spans="1:11" s="4" customFormat="1" x14ac:dyDescent="0.25">
      <c r="A1801" s="40"/>
      <c r="B1801" s="43"/>
      <c r="C1801" s="12" t="s">
        <v>24</v>
      </c>
      <c r="D1801" s="17">
        <f>120378.26/1000</f>
        <v>120.37826</v>
      </c>
      <c r="E1801" s="12" t="s">
        <v>24</v>
      </c>
      <c r="F1801" s="17">
        <v>0</v>
      </c>
      <c r="G1801" s="12" t="s">
        <v>24</v>
      </c>
      <c r="H1801" s="17">
        <v>0</v>
      </c>
      <c r="I1801" s="28"/>
      <c r="J1801" s="28"/>
      <c r="K1801" s="28"/>
    </row>
    <row r="1802" spans="1:11" s="4" customFormat="1" x14ac:dyDescent="0.25">
      <c r="A1802" s="41"/>
      <c r="B1802" s="44"/>
      <c r="C1802" s="12" t="s">
        <v>25</v>
      </c>
      <c r="D1802" s="17">
        <v>0</v>
      </c>
      <c r="E1802" s="12" t="s">
        <v>25</v>
      </c>
      <c r="F1802" s="17">
        <v>0</v>
      </c>
      <c r="G1802" s="12" t="s">
        <v>25</v>
      </c>
      <c r="H1802" s="17">
        <v>0</v>
      </c>
      <c r="I1802" s="29"/>
      <c r="J1802" s="28"/>
      <c r="K1802" s="29"/>
    </row>
    <row r="1803" spans="1:11" s="4" customFormat="1" x14ac:dyDescent="0.25">
      <c r="A1803" s="39" t="s">
        <v>590</v>
      </c>
      <c r="B1803" s="42" t="s">
        <v>591</v>
      </c>
      <c r="C1803" s="9" t="s">
        <v>28</v>
      </c>
      <c r="D1803" s="17">
        <f>D1805+D1806+D1807+D1808</f>
        <v>25</v>
      </c>
      <c r="E1803" s="9" t="s">
        <v>28</v>
      </c>
      <c r="F1803" s="17">
        <f>F1805+F1806+F1807+F1808</f>
        <v>0</v>
      </c>
      <c r="G1803" s="9" t="s">
        <v>28</v>
      </c>
      <c r="H1803" s="17">
        <f>H1805+H1806+H1807+H1808</f>
        <v>0</v>
      </c>
      <c r="I1803" s="27" t="s">
        <v>100</v>
      </c>
      <c r="J1803" s="28"/>
      <c r="K1803" s="27" t="s">
        <v>214</v>
      </c>
    </row>
    <row r="1804" spans="1:11" s="4" customFormat="1" x14ac:dyDescent="0.25">
      <c r="A1804" s="40"/>
      <c r="B1804" s="43"/>
      <c r="C1804" s="9" t="s">
        <v>21</v>
      </c>
      <c r="D1804" s="17"/>
      <c r="E1804" s="9" t="s">
        <v>21</v>
      </c>
      <c r="F1804" s="17"/>
      <c r="G1804" s="9" t="s">
        <v>21</v>
      </c>
      <c r="H1804" s="17"/>
      <c r="I1804" s="28"/>
      <c r="J1804" s="28"/>
      <c r="K1804" s="28"/>
    </row>
    <row r="1805" spans="1:11" s="4" customFormat="1" x14ac:dyDescent="0.25">
      <c r="A1805" s="40"/>
      <c r="B1805" s="43"/>
      <c r="C1805" s="12" t="s">
        <v>22</v>
      </c>
      <c r="D1805" s="17">
        <v>0</v>
      </c>
      <c r="E1805" s="12" t="s">
        <v>22</v>
      </c>
      <c r="F1805" s="17">
        <v>0</v>
      </c>
      <c r="G1805" s="12" t="s">
        <v>22</v>
      </c>
      <c r="H1805" s="17">
        <v>0</v>
      </c>
      <c r="I1805" s="28"/>
      <c r="J1805" s="28"/>
      <c r="K1805" s="28"/>
    </row>
    <row r="1806" spans="1:11" s="4" customFormat="1" x14ac:dyDescent="0.25">
      <c r="A1806" s="40"/>
      <c r="B1806" s="43"/>
      <c r="C1806" s="12" t="s">
        <v>23</v>
      </c>
      <c r="D1806" s="17">
        <v>0</v>
      </c>
      <c r="E1806" s="12" t="s">
        <v>23</v>
      </c>
      <c r="F1806" s="17">
        <v>0</v>
      </c>
      <c r="G1806" s="12" t="s">
        <v>23</v>
      </c>
      <c r="H1806" s="17">
        <v>0</v>
      </c>
      <c r="I1806" s="28"/>
      <c r="J1806" s="28"/>
      <c r="K1806" s="28"/>
    </row>
    <row r="1807" spans="1:11" s="4" customFormat="1" x14ac:dyDescent="0.25">
      <c r="A1807" s="40"/>
      <c r="B1807" s="43"/>
      <c r="C1807" s="12" t="s">
        <v>24</v>
      </c>
      <c r="D1807" s="17">
        <f>25000/1000</f>
        <v>25</v>
      </c>
      <c r="E1807" s="12" t="s">
        <v>24</v>
      </c>
      <c r="F1807" s="17">
        <v>0</v>
      </c>
      <c r="G1807" s="12" t="s">
        <v>24</v>
      </c>
      <c r="H1807" s="17">
        <v>0</v>
      </c>
      <c r="I1807" s="28"/>
      <c r="J1807" s="28"/>
      <c r="K1807" s="28"/>
    </row>
    <row r="1808" spans="1:11" s="4" customFormat="1" x14ac:dyDescent="0.25">
      <c r="A1808" s="41"/>
      <c r="B1808" s="44"/>
      <c r="C1808" s="12" t="s">
        <v>25</v>
      </c>
      <c r="D1808" s="17">
        <v>0</v>
      </c>
      <c r="E1808" s="12" t="s">
        <v>25</v>
      </c>
      <c r="F1808" s="17">
        <v>0</v>
      </c>
      <c r="G1808" s="12" t="s">
        <v>25</v>
      </c>
      <c r="H1808" s="17">
        <v>0</v>
      </c>
      <c r="I1808" s="29"/>
      <c r="J1808" s="28"/>
      <c r="K1808" s="29"/>
    </row>
    <row r="1809" spans="1:11" s="4" customFormat="1" x14ac:dyDescent="0.25">
      <c r="A1809" s="39" t="s">
        <v>592</v>
      </c>
      <c r="B1809" s="42" t="s">
        <v>593</v>
      </c>
      <c r="C1809" s="9" t="s">
        <v>28</v>
      </c>
      <c r="D1809" s="17">
        <f>D1811+D1812+D1813+D1814</f>
        <v>789.13364000000001</v>
      </c>
      <c r="E1809" s="9" t="s">
        <v>28</v>
      </c>
      <c r="F1809" s="17">
        <f>F1811+F1812+F1813+F1814</f>
        <v>0</v>
      </c>
      <c r="G1809" s="9" t="s">
        <v>28</v>
      </c>
      <c r="H1809" s="17">
        <f>H1811+H1812+H1813+H1814</f>
        <v>0</v>
      </c>
      <c r="I1809" s="27" t="s">
        <v>100</v>
      </c>
      <c r="J1809" s="28"/>
      <c r="K1809" s="27" t="s">
        <v>214</v>
      </c>
    </row>
    <row r="1810" spans="1:11" s="4" customFormat="1" x14ac:dyDescent="0.25">
      <c r="A1810" s="40"/>
      <c r="B1810" s="43"/>
      <c r="C1810" s="9" t="s">
        <v>21</v>
      </c>
      <c r="D1810" s="17"/>
      <c r="E1810" s="9" t="s">
        <v>21</v>
      </c>
      <c r="F1810" s="17"/>
      <c r="G1810" s="9" t="s">
        <v>21</v>
      </c>
      <c r="H1810" s="17"/>
      <c r="I1810" s="28"/>
      <c r="J1810" s="28"/>
      <c r="K1810" s="28"/>
    </row>
    <row r="1811" spans="1:11" s="4" customFormat="1" x14ac:dyDescent="0.25">
      <c r="A1811" s="40"/>
      <c r="B1811" s="43"/>
      <c r="C1811" s="12" t="s">
        <v>22</v>
      </c>
      <c r="D1811" s="17">
        <v>0</v>
      </c>
      <c r="E1811" s="12" t="s">
        <v>22</v>
      </c>
      <c r="F1811" s="17">
        <v>0</v>
      </c>
      <c r="G1811" s="12" t="s">
        <v>22</v>
      </c>
      <c r="H1811" s="17">
        <v>0</v>
      </c>
      <c r="I1811" s="28"/>
      <c r="J1811" s="28"/>
      <c r="K1811" s="28"/>
    </row>
    <row r="1812" spans="1:11" s="4" customFormat="1" x14ac:dyDescent="0.25">
      <c r="A1812" s="40"/>
      <c r="B1812" s="43"/>
      <c r="C1812" s="12" t="s">
        <v>23</v>
      </c>
      <c r="D1812" s="17">
        <v>0</v>
      </c>
      <c r="E1812" s="12" t="s">
        <v>23</v>
      </c>
      <c r="F1812" s="17">
        <v>0</v>
      </c>
      <c r="G1812" s="12" t="s">
        <v>23</v>
      </c>
      <c r="H1812" s="17">
        <v>0</v>
      </c>
      <c r="I1812" s="28"/>
      <c r="J1812" s="28"/>
      <c r="K1812" s="28"/>
    </row>
    <row r="1813" spans="1:11" s="4" customFormat="1" x14ac:dyDescent="0.25">
      <c r="A1813" s="40"/>
      <c r="B1813" s="43"/>
      <c r="C1813" s="12" t="s">
        <v>24</v>
      </c>
      <c r="D1813" s="17">
        <f>789133.64/1000</f>
        <v>789.13364000000001</v>
      </c>
      <c r="E1813" s="12" t="s">
        <v>24</v>
      </c>
      <c r="F1813" s="17">
        <v>0</v>
      </c>
      <c r="G1813" s="12" t="s">
        <v>24</v>
      </c>
      <c r="H1813" s="17">
        <v>0</v>
      </c>
      <c r="I1813" s="28"/>
      <c r="J1813" s="28"/>
      <c r="K1813" s="28"/>
    </row>
    <row r="1814" spans="1:11" s="4" customFormat="1" x14ac:dyDescent="0.25">
      <c r="A1814" s="41"/>
      <c r="B1814" s="44"/>
      <c r="C1814" s="12" t="s">
        <v>25</v>
      </c>
      <c r="D1814" s="17">
        <v>0</v>
      </c>
      <c r="E1814" s="12" t="s">
        <v>25</v>
      </c>
      <c r="F1814" s="17">
        <v>0</v>
      </c>
      <c r="G1814" s="12" t="s">
        <v>25</v>
      </c>
      <c r="H1814" s="17">
        <v>0</v>
      </c>
      <c r="I1814" s="29"/>
      <c r="J1814" s="28"/>
      <c r="K1814" s="29"/>
    </row>
    <row r="1815" spans="1:11" s="4" customFormat="1" x14ac:dyDescent="0.25">
      <c r="A1815" s="39" t="s">
        <v>594</v>
      </c>
      <c r="B1815" s="42" t="s">
        <v>595</v>
      </c>
      <c r="C1815" s="9" t="s">
        <v>28</v>
      </c>
      <c r="D1815" s="17">
        <f>D1817+D1818+D1819+D1820</f>
        <v>44.91</v>
      </c>
      <c r="E1815" s="9" t="s">
        <v>28</v>
      </c>
      <c r="F1815" s="17">
        <f>F1817+F1818+F1819+F1820</f>
        <v>0</v>
      </c>
      <c r="G1815" s="9" t="s">
        <v>28</v>
      </c>
      <c r="H1815" s="17">
        <f>H1817+H1818+H1819+H1820</f>
        <v>0</v>
      </c>
      <c r="I1815" s="27" t="s">
        <v>100</v>
      </c>
      <c r="J1815" s="28"/>
      <c r="K1815" s="27" t="s">
        <v>214</v>
      </c>
    </row>
    <row r="1816" spans="1:11" s="4" customFormat="1" x14ac:dyDescent="0.25">
      <c r="A1816" s="40"/>
      <c r="B1816" s="43"/>
      <c r="C1816" s="9" t="s">
        <v>21</v>
      </c>
      <c r="D1816" s="17"/>
      <c r="E1816" s="9" t="s">
        <v>21</v>
      </c>
      <c r="F1816" s="17"/>
      <c r="G1816" s="9" t="s">
        <v>21</v>
      </c>
      <c r="H1816" s="17"/>
      <c r="I1816" s="28"/>
      <c r="J1816" s="28"/>
      <c r="K1816" s="28"/>
    </row>
    <row r="1817" spans="1:11" s="4" customFormat="1" x14ac:dyDescent="0.25">
      <c r="A1817" s="40"/>
      <c r="B1817" s="43"/>
      <c r="C1817" s="12" t="s">
        <v>22</v>
      </c>
      <c r="D1817" s="17">
        <v>0</v>
      </c>
      <c r="E1817" s="12" t="s">
        <v>22</v>
      </c>
      <c r="F1817" s="17">
        <v>0</v>
      </c>
      <c r="G1817" s="12" t="s">
        <v>22</v>
      </c>
      <c r="H1817" s="17">
        <v>0</v>
      </c>
      <c r="I1817" s="28"/>
      <c r="J1817" s="28"/>
      <c r="K1817" s="28"/>
    </row>
    <row r="1818" spans="1:11" s="4" customFormat="1" x14ac:dyDescent="0.25">
      <c r="A1818" s="40"/>
      <c r="B1818" s="43"/>
      <c r="C1818" s="12" t="s">
        <v>23</v>
      </c>
      <c r="D1818" s="17">
        <v>0</v>
      </c>
      <c r="E1818" s="12" t="s">
        <v>23</v>
      </c>
      <c r="F1818" s="17">
        <v>0</v>
      </c>
      <c r="G1818" s="12" t="s">
        <v>23</v>
      </c>
      <c r="H1818" s="17">
        <v>0</v>
      </c>
      <c r="I1818" s="28"/>
      <c r="J1818" s="28"/>
      <c r="K1818" s="28"/>
    </row>
    <row r="1819" spans="1:11" s="4" customFormat="1" x14ac:dyDescent="0.25">
      <c r="A1819" s="40"/>
      <c r="B1819" s="43"/>
      <c r="C1819" s="12" t="s">
        <v>24</v>
      </c>
      <c r="D1819" s="17">
        <f>44910/1000</f>
        <v>44.91</v>
      </c>
      <c r="E1819" s="12" t="s">
        <v>24</v>
      </c>
      <c r="F1819" s="17">
        <v>0</v>
      </c>
      <c r="G1819" s="12" t="s">
        <v>24</v>
      </c>
      <c r="H1819" s="17">
        <v>0</v>
      </c>
      <c r="I1819" s="28"/>
      <c r="J1819" s="28"/>
      <c r="K1819" s="28"/>
    </row>
    <row r="1820" spans="1:11" s="4" customFormat="1" x14ac:dyDescent="0.25">
      <c r="A1820" s="41"/>
      <c r="B1820" s="44"/>
      <c r="C1820" s="12" t="s">
        <v>25</v>
      </c>
      <c r="D1820" s="17">
        <v>0</v>
      </c>
      <c r="E1820" s="12" t="s">
        <v>25</v>
      </c>
      <c r="F1820" s="17">
        <v>0</v>
      </c>
      <c r="G1820" s="12" t="s">
        <v>25</v>
      </c>
      <c r="H1820" s="17">
        <v>0</v>
      </c>
      <c r="I1820" s="29"/>
      <c r="J1820" s="28"/>
      <c r="K1820" s="29"/>
    </row>
    <row r="1821" spans="1:11" s="4" customFormat="1" x14ac:dyDescent="0.25">
      <c r="A1821" s="39" t="s">
        <v>596</v>
      </c>
      <c r="B1821" s="42" t="s">
        <v>597</v>
      </c>
      <c r="C1821" s="9" t="s">
        <v>28</v>
      </c>
      <c r="D1821" s="17">
        <f>D1823+D1824+D1825+D1826</f>
        <v>814.40936999999997</v>
      </c>
      <c r="E1821" s="9" t="s">
        <v>28</v>
      </c>
      <c r="F1821" s="17">
        <f>F1823+F1824+F1825+F1826</f>
        <v>0</v>
      </c>
      <c r="G1821" s="9" t="s">
        <v>28</v>
      </c>
      <c r="H1821" s="17">
        <f>H1823+H1824+H1825+H1826</f>
        <v>0</v>
      </c>
      <c r="I1821" s="27" t="s">
        <v>100</v>
      </c>
      <c r="J1821" s="28"/>
      <c r="K1821" s="27" t="s">
        <v>214</v>
      </c>
    </row>
    <row r="1822" spans="1:11" s="4" customFormat="1" x14ac:dyDescent="0.25">
      <c r="A1822" s="40"/>
      <c r="B1822" s="43"/>
      <c r="C1822" s="9" t="s">
        <v>21</v>
      </c>
      <c r="D1822" s="17"/>
      <c r="E1822" s="9" t="s">
        <v>21</v>
      </c>
      <c r="F1822" s="17"/>
      <c r="G1822" s="9" t="s">
        <v>21</v>
      </c>
      <c r="H1822" s="17"/>
      <c r="I1822" s="28"/>
      <c r="J1822" s="28"/>
      <c r="K1822" s="28"/>
    </row>
    <row r="1823" spans="1:11" s="4" customFormat="1" x14ac:dyDescent="0.25">
      <c r="A1823" s="40"/>
      <c r="B1823" s="43"/>
      <c r="C1823" s="12" t="s">
        <v>22</v>
      </c>
      <c r="D1823" s="17">
        <v>0</v>
      </c>
      <c r="E1823" s="12" t="s">
        <v>22</v>
      </c>
      <c r="F1823" s="17">
        <v>0</v>
      </c>
      <c r="G1823" s="12" t="s">
        <v>22</v>
      </c>
      <c r="H1823" s="17">
        <v>0</v>
      </c>
      <c r="I1823" s="28"/>
      <c r="J1823" s="28"/>
      <c r="K1823" s="28"/>
    </row>
    <row r="1824" spans="1:11" s="4" customFormat="1" x14ac:dyDescent="0.25">
      <c r="A1824" s="40"/>
      <c r="B1824" s="43"/>
      <c r="C1824" s="12" t="s">
        <v>23</v>
      </c>
      <c r="D1824" s="17">
        <v>0</v>
      </c>
      <c r="E1824" s="12" t="s">
        <v>23</v>
      </c>
      <c r="F1824" s="17">
        <v>0</v>
      </c>
      <c r="G1824" s="12" t="s">
        <v>23</v>
      </c>
      <c r="H1824" s="17">
        <v>0</v>
      </c>
      <c r="I1824" s="28"/>
      <c r="J1824" s="28"/>
      <c r="K1824" s="28"/>
    </row>
    <row r="1825" spans="1:11" s="4" customFormat="1" x14ac:dyDescent="0.25">
      <c r="A1825" s="40"/>
      <c r="B1825" s="43"/>
      <c r="C1825" s="12" t="s">
        <v>24</v>
      </c>
      <c r="D1825" s="17">
        <f>814409.37/1000</f>
        <v>814.40936999999997</v>
      </c>
      <c r="E1825" s="12" t="s">
        <v>24</v>
      </c>
      <c r="F1825" s="17">
        <v>0</v>
      </c>
      <c r="G1825" s="12" t="s">
        <v>24</v>
      </c>
      <c r="H1825" s="17">
        <v>0</v>
      </c>
      <c r="I1825" s="28"/>
      <c r="J1825" s="28"/>
      <c r="K1825" s="28"/>
    </row>
    <row r="1826" spans="1:11" s="4" customFormat="1" x14ac:dyDescent="0.25">
      <c r="A1826" s="41"/>
      <c r="B1826" s="44"/>
      <c r="C1826" s="12" t="s">
        <v>25</v>
      </c>
      <c r="D1826" s="17">
        <v>0</v>
      </c>
      <c r="E1826" s="12" t="s">
        <v>25</v>
      </c>
      <c r="F1826" s="17">
        <v>0</v>
      </c>
      <c r="G1826" s="12" t="s">
        <v>25</v>
      </c>
      <c r="H1826" s="17">
        <v>0</v>
      </c>
      <c r="I1826" s="29"/>
      <c r="J1826" s="28"/>
      <c r="K1826" s="29"/>
    </row>
    <row r="1827" spans="1:11" s="4" customFormat="1" x14ac:dyDescent="0.25">
      <c r="A1827" s="39" t="s">
        <v>598</v>
      </c>
      <c r="B1827" s="42" t="s">
        <v>599</v>
      </c>
      <c r="C1827" s="9" t="s">
        <v>28</v>
      </c>
      <c r="D1827" s="17">
        <f>D1829+D1830+D1831+D1832</f>
        <v>35</v>
      </c>
      <c r="E1827" s="9" t="s">
        <v>28</v>
      </c>
      <c r="F1827" s="17">
        <f>F1829+F1830+F1831+F1832</f>
        <v>0</v>
      </c>
      <c r="G1827" s="9" t="s">
        <v>28</v>
      </c>
      <c r="H1827" s="17">
        <f>H1829+H1830+H1831+H1832</f>
        <v>0</v>
      </c>
      <c r="I1827" s="27" t="s">
        <v>100</v>
      </c>
      <c r="J1827" s="28"/>
      <c r="K1827" s="27" t="s">
        <v>214</v>
      </c>
    </row>
    <row r="1828" spans="1:11" s="4" customFormat="1" x14ac:dyDescent="0.25">
      <c r="A1828" s="40"/>
      <c r="B1828" s="43"/>
      <c r="C1828" s="9" t="s">
        <v>21</v>
      </c>
      <c r="D1828" s="17"/>
      <c r="E1828" s="9" t="s">
        <v>21</v>
      </c>
      <c r="F1828" s="17"/>
      <c r="G1828" s="9" t="s">
        <v>21</v>
      </c>
      <c r="H1828" s="17"/>
      <c r="I1828" s="28"/>
      <c r="J1828" s="28"/>
      <c r="K1828" s="28"/>
    </row>
    <row r="1829" spans="1:11" s="4" customFormat="1" x14ac:dyDescent="0.25">
      <c r="A1829" s="40"/>
      <c r="B1829" s="43"/>
      <c r="C1829" s="12" t="s">
        <v>22</v>
      </c>
      <c r="D1829" s="17">
        <v>0</v>
      </c>
      <c r="E1829" s="12" t="s">
        <v>22</v>
      </c>
      <c r="F1829" s="17">
        <v>0</v>
      </c>
      <c r="G1829" s="12" t="s">
        <v>22</v>
      </c>
      <c r="H1829" s="17">
        <v>0</v>
      </c>
      <c r="I1829" s="28"/>
      <c r="J1829" s="28"/>
      <c r="K1829" s="28"/>
    </row>
    <row r="1830" spans="1:11" s="4" customFormat="1" x14ac:dyDescent="0.25">
      <c r="A1830" s="40"/>
      <c r="B1830" s="43"/>
      <c r="C1830" s="12" t="s">
        <v>23</v>
      </c>
      <c r="D1830" s="17">
        <v>0</v>
      </c>
      <c r="E1830" s="12" t="s">
        <v>23</v>
      </c>
      <c r="F1830" s="17">
        <v>0</v>
      </c>
      <c r="G1830" s="12" t="s">
        <v>23</v>
      </c>
      <c r="H1830" s="17">
        <v>0</v>
      </c>
      <c r="I1830" s="28"/>
      <c r="J1830" s="28"/>
      <c r="K1830" s="28"/>
    </row>
    <row r="1831" spans="1:11" s="4" customFormat="1" x14ac:dyDescent="0.25">
      <c r="A1831" s="40"/>
      <c r="B1831" s="43"/>
      <c r="C1831" s="12" t="s">
        <v>24</v>
      </c>
      <c r="D1831" s="17">
        <f>35000/1000</f>
        <v>35</v>
      </c>
      <c r="E1831" s="12" t="s">
        <v>24</v>
      </c>
      <c r="F1831" s="17">
        <v>0</v>
      </c>
      <c r="G1831" s="12" t="s">
        <v>24</v>
      </c>
      <c r="H1831" s="17">
        <v>0</v>
      </c>
      <c r="I1831" s="28"/>
      <c r="J1831" s="28"/>
      <c r="K1831" s="28"/>
    </row>
    <row r="1832" spans="1:11" s="4" customFormat="1" x14ac:dyDescent="0.25">
      <c r="A1832" s="41"/>
      <c r="B1832" s="44"/>
      <c r="C1832" s="12" t="s">
        <v>25</v>
      </c>
      <c r="D1832" s="17">
        <v>0</v>
      </c>
      <c r="E1832" s="12" t="s">
        <v>25</v>
      </c>
      <c r="F1832" s="17">
        <v>0</v>
      </c>
      <c r="G1832" s="12" t="s">
        <v>25</v>
      </c>
      <c r="H1832" s="17">
        <v>0</v>
      </c>
      <c r="I1832" s="29"/>
      <c r="J1832" s="28"/>
      <c r="K1832" s="29"/>
    </row>
    <row r="1833" spans="1:11" s="4" customFormat="1" x14ac:dyDescent="0.25">
      <c r="A1833" s="39" t="s">
        <v>600</v>
      </c>
      <c r="B1833" s="42" t="s">
        <v>601</v>
      </c>
      <c r="C1833" s="9" t="s">
        <v>28</v>
      </c>
      <c r="D1833" s="17">
        <f>D1835+D1836+D1837+D1838</f>
        <v>45</v>
      </c>
      <c r="E1833" s="9" t="s">
        <v>28</v>
      </c>
      <c r="F1833" s="17">
        <f>F1835+F1836+F1837+F1838</f>
        <v>0</v>
      </c>
      <c r="G1833" s="9" t="s">
        <v>28</v>
      </c>
      <c r="H1833" s="17">
        <f>H1835+H1836+H1837+H1838</f>
        <v>0</v>
      </c>
      <c r="I1833" s="27" t="s">
        <v>100</v>
      </c>
      <c r="J1833" s="28"/>
      <c r="K1833" s="27" t="s">
        <v>214</v>
      </c>
    </row>
    <row r="1834" spans="1:11" s="4" customFormat="1" x14ac:dyDescent="0.25">
      <c r="A1834" s="40"/>
      <c r="B1834" s="43"/>
      <c r="C1834" s="9" t="s">
        <v>21</v>
      </c>
      <c r="D1834" s="17"/>
      <c r="E1834" s="9" t="s">
        <v>21</v>
      </c>
      <c r="F1834" s="17"/>
      <c r="G1834" s="9" t="s">
        <v>21</v>
      </c>
      <c r="H1834" s="17"/>
      <c r="I1834" s="28"/>
      <c r="J1834" s="28"/>
      <c r="K1834" s="28"/>
    </row>
    <row r="1835" spans="1:11" s="4" customFormat="1" x14ac:dyDescent="0.25">
      <c r="A1835" s="40"/>
      <c r="B1835" s="43"/>
      <c r="C1835" s="12" t="s">
        <v>22</v>
      </c>
      <c r="D1835" s="17">
        <v>0</v>
      </c>
      <c r="E1835" s="12" t="s">
        <v>22</v>
      </c>
      <c r="F1835" s="17">
        <v>0</v>
      </c>
      <c r="G1835" s="12" t="s">
        <v>22</v>
      </c>
      <c r="H1835" s="17">
        <v>0</v>
      </c>
      <c r="I1835" s="28"/>
      <c r="J1835" s="28"/>
      <c r="K1835" s="28"/>
    </row>
    <row r="1836" spans="1:11" s="4" customFormat="1" x14ac:dyDescent="0.25">
      <c r="A1836" s="40"/>
      <c r="B1836" s="43"/>
      <c r="C1836" s="12" t="s">
        <v>23</v>
      </c>
      <c r="D1836" s="17">
        <v>0</v>
      </c>
      <c r="E1836" s="12" t="s">
        <v>23</v>
      </c>
      <c r="F1836" s="17">
        <v>0</v>
      </c>
      <c r="G1836" s="12" t="s">
        <v>23</v>
      </c>
      <c r="H1836" s="17">
        <v>0</v>
      </c>
      <c r="I1836" s="28"/>
      <c r="J1836" s="28"/>
      <c r="K1836" s="28"/>
    </row>
    <row r="1837" spans="1:11" s="4" customFormat="1" x14ac:dyDescent="0.25">
      <c r="A1837" s="40"/>
      <c r="B1837" s="43"/>
      <c r="C1837" s="12" t="s">
        <v>24</v>
      </c>
      <c r="D1837" s="17">
        <f>45000/1000</f>
        <v>45</v>
      </c>
      <c r="E1837" s="12" t="s">
        <v>24</v>
      </c>
      <c r="F1837" s="17">
        <v>0</v>
      </c>
      <c r="G1837" s="12" t="s">
        <v>24</v>
      </c>
      <c r="H1837" s="17">
        <v>0</v>
      </c>
      <c r="I1837" s="28"/>
      <c r="J1837" s="28"/>
      <c r="K1837" s="28"/>
    </row>
    <row r="1838" spans="1:11" s="4" customFormat="1" x14ac:dyDescent="0.25">
      <c r="A1838" s="41"/>
      <c r="B1838" s="44"/>
      <c r="C1838" s="12" t="s">
        <v>25</v>
      </c>
      <c r="D1838" s="17">
        <v>0</v>
      </c>
      <c r="E1838" s="12" t="s">
        <v>25</v>
      </c>
      <c r="F1838" s="17">
        <v>0</v>
      </c>
      <c r="G1838" s="12" t="s">
        <v>25</v>
      </c>
      <c r="H1838" s="17">
        <v>0</v>
      </c>
      <c r="I1838" s="29"/>
      <c r="J1838" s="28"/>
      <c r="K1838" s="29"/>
    </row>
    <row r="1839" spans="1:11" s="4" customFormat="1" x14ac:dyDescent="0.25">
      <c r="A1839" s="39" t="s">
        <v>602</v>
      </c>
      <c r="B1839" s="42" t="s">
        <v>603</v>
      </c>
      <c r="C1839" s="9" t="s">
        <v>28</v>
      </c>
      <c r="D1839" s="17">
        <f>D1841+D1842+D1843+D1844</f>
        <v>115</v>
      </c>
      <c r="E1839" s="9" t="s">
        <v>28</v>
      </c>
      <c r="F1839" s="17">
        <f>F1841+F1842+F1843+F1844</f>
        <v>0</v>
      </c>
      <c r="G1839" s="9" t="s">
        <v>28</v>
      </c>
      <c r="H1839" s="17">
        <f>H1841+H1842+H1843+H1844</f>
        <v>0</v>
      </c>
      <c r="I1839" s="27" t="s">
        <v>100</v>
      </c>
      <c r="J1839" s="28"/>
      <c r="K1839" s="27" t="s">
        <v>214</v>
      </c>
    </row>
    <row r="1840" spans="1:11" s="4" customFormat="1" x14ac:dyDescent="0.25">
      <c r="A1840" s="40"/>
      <c r="B1840" s="43"/>
      <c r="C1840" s="9" t="s">
        <v>21</v>
      </c>
      <c r="D1840" s="17"/>
      <c r="E1840" s="9" t="s">
        <v>21</v>
      </c>
      <c r="F1840" s="17"/>
      <c r="G1840" s="9" t="s">
        <v>21</v>
      </c>
      <c r="H1840" s="17"/>
      <c r="I1840" s="28"/>
      <c r="J1840" s="28"/>
      <c r="K1840" s="28"/>
    </row>
    <row r="1841" spans="1:11" s="4" customFormat="1" x14ac:dyDescent="0.25">
      <c r="A1841" s="40"/>
      <c r="B1841" s="43"/>
      <c r="C1841" s="12" t="s">
        <v>22</v>
      </c>
      <c r="D1841" s="17">
        <v>0</v>
      </c>
      <c r="E1841" s="12" t="s">
        <v>22</v>
      </c>
      <c r="F1841" s="17">
        <v>0</v>
      </c>
      <c r="G1841" s="12" t="s">
        <v>22</v>
      </c>
      <c r="H1841" s="17">
        <v>0</v>
      </c>
      <c r="I1841" s="28"/>
      <c r="J1841" s="28"/>
      <c r="K1841" s="28"/>
    </row>
    <row r="1842" spans="1:11" s="4" customFormat="1" x14ac:dyDescent="0.25">
      <c r="A1842" s="40"/>
      <c r="B1842" s="43"/>
      <c r="C1842" s="12" t="s">
        <v>23</v>
      </c>
      <c r="D1842" s="17">
        <v>0</v>
      </c>
      <c r="E1842" s="12" t="s">
        <v>23</v>
      </c>
      <c r="F1842" s="17">
        <v>0</v>
      </c>
      <c r="G1842" s="12" t="s">
        <v>23</v>
      </c>
      <c r="H1842" s="17">
        <v>0</v>
      </c>
      <c r="I1842" s="28"/>
      <c r="J1842" s="28"/>
      <c r="K1842" s="28"/>
    </row>
    <row r="1843" spans="1:11" s="4" customFormat="1" x14ac:dyDescent="0.25">
      <c r="A1843" s="40"/>
      <c r="B1843" s="43"/>
      <c r="C1843" s="12" t="s">
        <v>24</v>
      </c>
      <c r="D1843" s="17">
        <f>115000/1000</f>
        <v>115</v>
      </c>
      <c r="E1843" s="12" t="s">
        <v>24</v>
      </c>
      <c r="F1843" s="17">
        <v>0</v>
      </c>
      <c r="G1843" s="12" t="s">
        <v>24</v>
      </c>
      <c r="H1843" s="17">
        <v>0</v>
      </c>
      <c r="I1843" s="28"/>
      <c r="J1843" s="28"/>
      <c r="K1843" s="28"/>
    </row>
    <row r="1844" spans="1:11" s="4" customFormat="1" x14ac:dyDescent="0.25">
      <c r="A1844" s="41"/>
      <c r="B1844" s="44"/>
      <c r="C1844" s="12" t="s">
        <v>25</v>
      </c>
      <c r="D1844" s="17">
        <v>0</v>
      </c>
      <c r="E1844" s="12" t="s">
        <v>25</v>
      </c>
      <c r="F1844" s="17">
        <v>0</v>
      </c>
      <c r="G1844" s="12" t="s">
        <v>25</v>
      </c>
      <c r="H1844" s="17">
        <v>0</v>
      </c>
      <c r="I1844" s="29"/>
      <c r="J1844" s="28"/>
      <c r="K1844" s="29"/>
    </row>
    <row r="1845" spans="1:11" s="4" customFormat="1" x14ac:dyDescent="0.25">
      <c r="A1845" s="39" t="s">
        <v>604</v>
      </c>
      <c r="B1845" s="42" t="s">
        <v>605</v>
      </c>
      <c r="C1845" s="9" t="s">
        <v>28</v>
      </c>
      <c r="D1845" s="17">
        <f>D1847+D1848+D1849+D1850</f>
        <v>45</v>
      </c>
      <c r="E1845" s="9" t="s">
        <v>28</v>
      </c>
      <c r="F1845" s="17">
        <f>F1847+F1848+F1849+F1850</f>
        <v>0</v>
      </c>
      <c r="G1845" s="9" t="s">
        <v>28</v>
      </c>
      <c r="H1845" s="17">
        <f>H1847+H1848+H1849+H1850</f>
        <v>0</v>
      </c>
      <c r="I1845" s="27" t="s">
        <v>100</v>
      </c>
      <c r="J1845" s="28"/>
      <c r="K1845" s="27" t="s">
        <v>214</v>
      </c>
    </row>
    <row r="1846" spans="1:11" s="4" customFormat="1" x14ac:dyDescent="0.25">
      <c r="A1846" s="40"/>
      <c r="B1846" s="43"/>
      <c r="C1846" s="9" t="s">
        <v>21</v>
      </c>
      <c r="D1846" s="17"/>
      <c r="E1846" s="9" t="s">
        <v>21</v>
      </c>
      <c r="F1846" s="17"/>
      <c r="G1846" s="9" t="s">
        <v>21</v>
      </c>
      <c r="H1846" s="17"/>
      <c r="I1846" s="28"/>
      <c r="J1846" s="28"/>
      <c r="K1846" s="28"/>
    </row>
    <row r="1847" spans="1:11" s="4" customFormat="1" x14ac:dyDescent="0.25">
      <c r="A1847" s="40"/>
      <c r="B1847" s="43"/>
      <c r="C1847" s="12" t="s">
        <v>22</v>
      </c>
      <c r="D1847" s="17">
        <v>0</v>
      </c>
      <c r="E1847" s="12" t="s">
        <v>22</v>
      </c>
      <c r="F1847" s="17">
        <v>0</v>
      </c>
      <c r="G1847" s="12" t="s">
        <v>22</v>
      </c>
      <c r="H1847" s="17">
        <v>0</v>
      </c>
      <c r="I1847" s="28"/>
      <c r="J1847" s="28"/>
      <c r="K1847" s="28"/>
    </row>
    <row r="1848" spans="1:11" s="4" customFormat="1" x14ac:dyDescent="0.25">
      <c r="A1848" s="40"/>
      <c r="B1848" s="43"/>
      <c r="C1848" s="12" t="s">
        <v>23</v>
      </c>
      <c r="D1848" s="17">
        <v>0</v>
      </c>
      <c r="E1848" s="12" t="s">
        <v>23</v>
      </c>
      <c r="F1848" s="17">
        <v>0</v>
      </c>
      <c r="G1848" s="12" t="s">
        <v>23</v>
      </c>
      <c r="H1848" s="17">
        <v>0</v>
      </c>
      <c r="I1848" s="28"/>
      <c r="J1848" s="28"/>
      <c r="K1848" s="28"/>
    </row>
    <row r="1849" spans="1:11" s="4" customFormat="1" x14ac:dyDescent="0.25">
      <c r="A1849" s="40"/>
      <c r="B1849" s="43"/>
      <c r="C1849" s="12" t="s">
        <v>24</v>
      </c>
      <c r="D1849" s="17">
        <f>45000/1000</f>
        <v>45</v>
      </c>
      <c r="E1849" s="12" t="s">
        <v>24</v>
      </c>
      <c r="F1849" s="17">
        <v>0</v>
      </c>
      <c r="G1849" s="12" t="s">
        <v>24</v>
      </c>
      <c r="H1849" s="17">
        <v>0</v>
      </c>
      <c r="I1849" s="28"/>
      <c r="J1849" s="28"/>
      <c r="K1849" s="28"/>
    </row>
    <row r="1850" spans="1:11" s="4" customFormat="1" x14ac:dyDescent="0.25">
      <c r="A1850" s="41"/>
      <c r="B1850" s="44"/>
      <c r="C1850" s="12" t="s">
        <v>25</v>
      </c>
      <c r="D1850" s="17">
        <v>0</v>
      </c>
      <c r="E1850" s="12" t="s">
        <v>25</v>
      </c>
      <c r="F1850" s="17">
        <v>0</v>
      </c>
      <c r="G1850" s="12" t="s">
        <v>25</v>
      </c>
      <c r="H1850" s="17">
        <v>0</v>
      </c>
      <c r="I1850" s="29"/>
      <c r="J1850" s="28"/>
      <c r="K1850" s="29"/>
    </row>
    <row r="1851" spans="1:11" s="4" customFormat="1" x14ac:dyDescent="0.25">
      <c r="A1851" s="39" t="s">
        <v>606</v>
      </c>
      <c r="B1851" s="42" t="s">
        <v>95</v>
      </c>
      <c r="C1851" s="9" t="s">
        <v>28</v>
      </c>
      <c r="D1851" s="17">
        <f>D1853+D1854+D1855+D1856</f>
        <v>0</v>
      </c>
      <c r="E1851" s="9" t="s">
        <v>28</v>
      </c>
      <c r="F1851" s="17">
        <f>F1853+F1854+F1855+F1856</f>
        <v>0</v>
      </c>
      <c r="G1851" s="9" t="s">
        <v>28</v>
      </c>
      <c r="H1851" s="17">
        <f>H1853+H1854+H1855+H1856</f>
        <v>0</v>
      </c>
      <c r="I1851" s="27" t="s">
        <v>100</v>
      </c>
      <c r="J1851" s="28"/>
      <c r="K1851" s="27" t="s">
        <v>214</v>
      </c>
    </row>
    <row r="1852" spans="1:11" s="4" customFormat="1" x14ac:dyDescent="0.25">
      <c r="A1852" s="40"/>
      <c r="B1852" s="43"/>
      <c r="C1852" s="9" t="s">
        <v>21</v>
      </c>
      <c r="D1852" s="17"/>
      <c r="E1852" s="9" t="s">
        <v>21</v>
      </c>
      <c r="F1852" s="17"/>
      <c r="G1852" s="9" t="s">
        <v>21</v>
      </c>
      <c r="H1852" s="17"/>
      <c r="I1852" s="28"/>
      <c r="J1852" s="28"/>
      <c r="K1852" s="28"/>
    </row>
    <row r="1853" spans="1:11" s="4" customFormat="1" x14ac:dyDescent="0.25">
      <c r="A1853" s="40"/>
      <c r="B1853" s="43"/>
      <c r="C1853" s="12" t="s">
        <v>22</v>
      </c>
      <c r="D1853" s="17">
        <v>0</v>
      </c>
      <c r="E1853" s="12" t="s">
        <v>22</v>
      </c>
      <c r="F1853" s="17">
        <v>0</v>
      </c>
      <c r="G1853" s="12" t="s">
        <v>22</v>
      </c>
      <c r="H1853" s="17">
        <v>0</v>
      </c>
      <c r="I1853" s="28"/>
      <c r="J1853" s="28"/>
      <c r="K1853" s="28"/>
    </row>
    <row r="1854" spans="1:11" s="4" customFormat="1" x14ac:dyDescent="0.25">
      <c r="A1854" s="40"/>
      <c r="B1854" s="43"/>
      <c r="C1854" s="12" t="s">
        <v>23</v>
      </c>
      <c r="D1854" s="17">
        <v>0</v>
      </c>
      <c r="E1854" s="12" t="s">
        <v>23</v>
      </c>
      <c r="F1854" s="17">
        <v>0</v>
      </c>
      <c r="G1854" s="12" t="s">
        <v>23</v>
      </c>
      <c r="H1854" s="17">
        <v>0</v>
      </c>
      <c r="I1854" s="28"/>
      <c r="J1854" s="28"/>
      <c r="K1854" s="28"/>
    </row>
    <row r="1855" spans="1:11" s="4" customFormat="1" x14ac:dyDescent="0.25">
      <c r="A1855" s="40"/>
      <c r="B1855" s="43"/>
      <c r="C1855" s="12" t="s">
        <v>24</v>
      </c>
      <c r="D1855" s="17">
        <v>0</v>
      </c>
      <c r="E1855" s="12" t="s">
        <v>24</v>
      </c>
      <c r="F1855" s="17">
        <v>0</v>
      </c>
      <c r="G1855" s="12" t="s">
        <v>24</v>
      </c>
      <c r="H1855" s="17">
        <v>0</v>
      </c>
      <c r="I1855" s="28"/>
      <c r="J1855" s="28"/>
      <c r="K1855" s="28"/>
    </row>
    <row r="1856" spans="1:11" s="4" customFormat="1" x14ac:dyDescent="0.25">
      <c r="A1856" s="41"/>
      <c r="B1856" s="44"/>
      <c r="C1856" s="12" t="s">
        <v>25</v>
      </c>
      <c r="D1856" s="17">
        <v>0</v>
      </c>
      <c r="E1856" s="12" t="s">
        <v>25</v>
      </c>
      <c r="F1856" s="17">
        <v>0</v>
      </c>
      <c r="G1856" s="12" t="s">
        <v>25</v>
      </c>
      <c r="H1856" s="17">
        <v>0</v>
      </c>
      <c r="I1856" s="29"/>
      <c r="J1856" s="28"/>
      <c r="K1856" s="29"/>
    </row>
    <row r="1857" spans="1:11" s="4" customFormat="1" x14ac:dyDescent="0.25">
      <c r="A1857" s="39" t="s">
        <v>607</v>
      </c>
      <c r="B1857" s="42" t="s">
        <v>608</v>
      </c>
      <c r="C1857" s="9" t="s">
        <v>28</v>
      </c>
      <c r="D1857" s="17">
        <f>D1859+D1860+D1861+D1862</f>
        <v>14121.999999999998</v>
      </c>
      <c r="E1857" s="9" t="s">
        <v>28</v>
      </c>
      <c r="F1857" s="17">
        <f>F1859+F1860+F1861+F1862</f>
        <v>8416.44</v>
      </c>
      <c r="G1857" s="9" t="s">
        <v>28</v>
      </c>
      <c r="H1857" s="17">
        <f>H1859+H1860+H1861+H1862</f>
        <v>3987.65</v>
      </c>
      <c r="I1857" s="27" t="s">
        <v>18</v>
      </c>
      <c r="J1857" s="28"/>
      <c r="K1857" s="27" t="s">
        <v>214</v>
      </c>
    </row>
    <row r="1858" spans="1:11" s="4" customFormat="1" x14ac:dyDescent="0.25">
      <c r="A1858" s="40"/>
      <c r="B1858" s="43"/>
      <c r="C1858" s="9" t="s">
        <v>21</v>
      </c>
      <c r="D1858" s="17"/>
      <c r="E1858" s="9" t="s">
        <v>21</v>
      </c>
      <c r="F1858" s="17"/>
      <c r="G1858" s="9" t="s">
        <v>21</v>
      </c>
      <c r="H1858" s="17"/>
      <c r="I1858" s="28"/>
      <c r="J1858" s="28"/>
      <c r="K1858" s="28"/>
    </row>
    <row r="1859" spans="1:11" s="4" customFormat="1" x14ac:dyDescent="0.25">
      <c r="A1859" s="40"/>
      <c r="B1859" s="43"/>
      <c r="C1859" s="12" t="s">
        <v>22</v>
      </c>
      <c r="D1859" s="17">
        <f>D1865+D1871+D1877+D1883+D1889+D1895+D1901+D1907+D1967+D1913+D1919+D1925+D1931+D1937+D1943+D1949+D1955+D1961</f>
        <v>0</v>
      </c>
      <c r="E1859" s="12" t="s">
        <v>22</v>
      </c>
      <c r="F1859" s="17">
        <f>F1865+F1871+F1877+F1883+F1889+F1895+F1901+F1907+F1967+F1913+F1919+F1925+F1931+F1937+F1943+F1949+F1955+F1961</f>
        <v>0</v>
      </c>
      <c r="G1859" s="12" t="s">
        <v>22</v>
      </c>
      <c r="H1859" s="17">
        <f>H1865+H1871+H1877+H1883+H1889+H1895+H1901+H1907+H1967+H1913+H1919+H1925+H1931+H1937+H1943+H1949+H1955+H1961</f>
        <v>0</v>
      </c>
      <c r="I1859" s="28"/>
      <c r="J1859" s="28"/>
      <c r="K1859" s="28"/>
    </row>
    <row r="1860" spans="1:11" s="4" customFormat="1" x14ac:dyDescent="0.25">
      <c r="A1860" s="40"/>
      <c r="B1860" s="43"/>
      <c r="C1860" s="12" t="s">
        <v>23</v>
      </c>
      <c r="D1860" s="17">
        <f t="shared" ref="D1860:F1862" si="103">D1866+D1872+D1878+D1884+D1890+D1896+D1902+D1908+D1968+D1914+D1920+D1926+D1932+D1938+D1944+D1950+D1956+D1962</f>
        <v>0</v>
      </c>
      <c r="E1860" s="12" t="s">
        <v>23</v>
      </c>
      <c r="F1860" s="17">
        <f t="shared" si="103"/>
        <v>0</v>
      </c>
      <c r="G1860" s="12" t="s">
        <v>23</v>
      </c>
      <c r="H1860" s="17">
        <f t="shared" ref="H1860:H1862" si="104">H1866+H1872+H1878+H1884+H1890+H1896+H1902+H1908+H1968+H1914+H1920+H1926+H1932+H1938+H1944+H1950+H1956+H1962</f>
        <v>0</v>
      </c>
      <c r="I1860" s="28"/>
      <c r="J1860" s="28"/>
      <c r="K1860" s="28"/>
    </row>
    <row r="1861" spans="1:11" s="4" customFormat="1" x14ac:dyDescent="0.25">
      <c r="A1861" s="40"/>
      <c r="B1861" s="43"/>
      <c r="C1861" s="12" t="s">
        <v>24</v>
      </c>
      <c r="D1861" s="17">
        <f t="shared" si="103"/>
        <v>14121.999999999998</v>
      </c>
      <c r="E1861" s="12" t="s">
        <v>24</v>
      </c>
      <c r="F1861" s="17">
        <f t="shared" si="103"/>
        <v>8416.44</v>
      </c>
      <c r="G1861" s="12" t="s">
        <v>24</v>
      </c>
      <c r="H1861" s="17">
        <f t="shared" si="104"/>
        <v>3987.65</v>
      </c>
      <c r="I1861" s="28"/>
      <c r="J1861" s="28"/>
      <c r="K1861" s="28"/>
    </row>
    <row r="1862" spans="1:11" s="4" customFormat="1" x14ac:dyDescent="0.25">
      <c r="A1862" s="41"/>
      <c r="B1862" s="44"/>
      <c r="C1862" s="12" t="s">
        <v>25</v>
      </c>
      <c r="D1862" s="17">
        <f t="shared" si="103"/>
        <v>0</v>
      </c>
      <c r="E1862" s="12" t="s">
        <v>25</v>
      </c>
      <c r="F1862" s="17">
        <f t="shared" si="103"/>
        <v>0</v>
      </c>
      <c r="G1862" s="12" t="s">
        <v>25</v>
      </c>
      <c r="H1862" s="17">
        <f t="shared" si="104"/>
        <v>0</v>
      </c>
      <c r="I1862" s="29"/>
      <c r="J1862" s="28"/>
      <c r="K1862" s="29"/>
    </row>
    <row r="1863" spans="1:11" s="4" customFormat="1" x14ac:dyDescent="0.25">
      <c r="A1863" s="39" t="s">
        <v>609</v>
      </c>
      <c r="B1863" s="42" t="s">
        <v>150</v>
      </c>
      <c r="C1863" s="9" t="s">
        <v>28</v>
      </c>
      <c r="D1863" s="17">
        <f>D1865+D1866+D1867+D1868</f>
        <v>2842.7</v>
      </c>
      <c r="E1863" s="9" t="s">
        <v>28</v>
      </c>
      <c r="F1863" s="17">
        <f>F1865+F1866+F1867+F1868</f>
        <v>2641.97</v>
      </c>
      <c r="G1863" s="9" t="s">
        <v>28</v>
      </c>
      <c r="H1863" s="17">
        <f>H1865+H1866+H1867+H1868</f>
        <v>3987.65</v>
      </c>
      <c r="I1863" s="27" t="s">
        <v>18</v>
      </c>
      <c r="J1863" s="28"/>
      <c r="K1863" s="27" t="s">
        <v>214</v>
      </c>
    </row>
    <row r="1864" spans="1:11" s="4" customFormat="1" x14ac:dyDescent="0.25">
      <c r="A1864" s="40"/>
      <c r="B1864" s="43"/>
      <c r="C1864" s="9" t="s">
        <v>21</v>
      </c>
      <c r="D1864" s="17"/>
      <c r="E1864" s="9" t="s">
        <v>21</v>
      </c>
      <c r="F1864" s="17"/>
      <c r="G1864" s="9" t="s">
        <v>21</v>
      </c>
      <c r="H1864" s="17"/>
      <c r="I1864" s="28"/>
      <c r="J1864" s="28"/>
      <c r="K1864" s="28"/>
    </row>
    <row r="1865" spans="1:11" s="4" customFormat="1" x14ac:dyDescent="0.25">
      <c r="A1865" s="40"/>
      <c r="B1865" s="43"/>
      <c r="C1865" s="12" t="s">
        <v>22</v>
      </c>
      <c r="D1865" s="17">
        <v>0</v>
      </c>
      <c r="E1865" s="12" t="s">
        <v>22</v>
      </c>
      <c r="F1865" s="17">
        <v>0</v>
      </c>
      <c r="G1865" s="12" t="s">
        <v>22</v>
      </c>
      <c r="H1865" s="17">
        <v>0</v>
      </c>
      <c r="I1865" s="28"/>
      <c r="J1865" s="28"/>
      <c r="K1865" s="28"/>
    </row>
    <row r="1866" spans="1:11" s="4" customFormat="1" x14ac:dyDescent="0.25">
      <c r="A1866" s="40"/>
      <c r="B1866" s="43"/>
      <c r="C1866" s="12" t="s">
        <v>23</v>
      </c>
      <c r="D1866" s="17">
        <v>0</v>
      </c>
      <c r="E1866" s="12" t="s">
        <v>23</v>
      </c>
      <c r="F1866" s="17">
        <v>0</v>
      </c>
      <c r="G1866" s="12" t="s">
        <v>23</v>
      </c>
      <c r="H1866" s="17">
        <v>0</v>
      </c>
      <c r="I1866" s="28"/>
      <c r="J1866" s="28"/>
      <c r="K1866" s="28"/>
    </row>
    <row r="1867" spans="1:11" s="4" customFormat="1" x14ac:dyDescent="0.25">
      <c r="A1867" s="40"/>
      <c r="B1867" s="43"/>
      <c r="C1867" s="12" t="s">
        <v>24</v>
      </c>
      <c r="D1867" s="17">
        <v>2842.7</v>
      </c>
      <c r="E1867" s="12" t="s">
        <v>24</v>
      </c>
      <c r="F1867" s="17">
        <v>2641.97</v>
      </c>
      <c r="G1867" s="12" t="s">
        <v>24</v>
      </c>
      <c r="H1867" s="17">
        <v>3987.65</v>
      </c>
      <c r="I1867" s="28"/>
      <c r="J1867" s="28"/>
      <c r="K1867" s="28"/>
    </row>
    <row r="1868" spans="1:11" s="4" customFormat="1" x14ac:dyDescent="0.25">
      <c r="A1868" s="41"/>
      <c r="B1868" s="44"/>
      <c r="C1868" s="12" t="s">
        <v>25</v>
      </c>
      <c r="D1868" s="17">
        <v>0</v>
      </c>
      <c r="E1868" s="12" t="s">
        <v>25</v>
      </c>
      <c r="F1868" s="17">
        <v>0</v>
      </c>
      <c r="G1868" s="12" t="s">
        <v>25</v>
      </c>
      <c r="H1868" s="17">
        <v>0</v>
      </c>
      <c r="I1868" s="29"/>
      <c r="J1868" s="28"/>
      <c r="K1868" s="29"/>
    </row>
    <row r="1869" spans="1:11" s="4" customFormat="1" x14ac:dyDescent="0.25">
      <c r="A1869" s="39" t="s">
        <v>610</v>
      </c>
      <c r="B1869" s="42" t="s">
        <v>611</v>
      </c>
      <c r="C1869" s="9" t="s">
        <v>28</v>
      </c>
      <c r="D1869" s="17">
        <f>D1871+D1872+D1873+D1874</f>
        <v>163.31476999999998</v>
      </c>
      <c r="E1869" s="9" t="s">
        <v>28</v>
      </c>
      <c r="F1869" s="17">
        <f>F1871+F1872+F1873+F1874</f>
        <v>0</v>
      </c>
      <c r="G1869" s="9" t="s">
        <v>28</v>
      </c>
      <c r="H1869" s="17">
        <f>H1871+H1872+H1873+H1874</f>
        <v>0</v>
      </c>
      <c r="I1869" s="27" t="s">
        <v>248</v>
      </c>
      <c r="J1869" s="28"/>
      <c r="K1869" s="27" t="s">
        <v>214</v>
      </c>
    </row>
    <row r="1870" spans="1:11" s="4" customFormat="1" x14ac:dyDescent="0.25">
      <c r="A1870" s="40"/>
      <c r="B1870" s="43"/>
      <c r="C1870" s="9" t="s">
        <v>21</v>
      </c>
      <c r="D1870" s="17"/>
      <c r="E1870" s="9" t="s">
        <v>21</v>
      </c>
      <c r="F1870" s="17"/>
      <c r="G1870" s="9" t="s">
        <v>21</v>
      </c>
      <c r="H1870" s="17"/>
      <c r="I1870" s="28"/>
      <c r="J1870" s="28"/>
      <c r="K1870" s="28"/>
    </row>
    <row r="1871" spans="1:11" s="4" customFormat="1" x14ac:dyDescent="0.25">
      <c r="A1871" s="40"/>
      <c r="B1871" s="43"/>
      <c r="C1871" s="12" t="s">
        <v>22</v>
      </c>
      <c r="D1871" s="17">
        <v>0</v>
      </c>
      <c r="E1871" s="12" t="s">
        <v>22</v>
      </c>
      <c r="F1871" s="17">
        <v>0</v>
      </c>
      <c r="G1871" s="12" t="s">
        <v>22</v>
      </c>
      <c r="H1871" s="17">
        <v>0</v>
      </c>
      <c r="I1871" s="28"/>
      <c r="J1871" s="28"/>
      <c r="K1871" s="28"/>
    </row>
    <row r="1872" spans="1:11" s="4" customFormat="1" x14ac:dyDescent="0.25">
      <c r="A1872" s="40"/>
      <c r="B1872" s="43"/>
      <c r="C1872" s="12" t="s">
        <v>23</v>
      </c>
      <c r="D1872" s="17">
        <v>0</v>
      </c>
      <c r="E1872" s="12" t="s">
        <v>23</v>
      </c>
      <c r="F1872" s="17">
        <v>0</v>
      </c>
      <c r="G1872" s="12" t="s">
        <v>23</v>
      </c>
      <c r="H1872" s="17">
        <v>0</v>
      </c>
      <c r="I1872" s="28"/>
      <c r="J1872" s="28"/>
      <c r="K1872" s="28"/>
    </row>
    <row r="1873" spans="1:11" s="4" customFormat="1" x14ac:dyDescent="0.25">
      <c r="A1873" s="40"/>
      <c r="B1873" s="43"/>
      <c r="C1873" s="12" t="s">
        <v>24</v>
      </c>
      <c r="D1873" s="17">
        <f>163314.77/1000</f>
        <v>163.31476999999998</v>
      </c>
      <c r="E1873" s="12" t="s">
        <v>24</v>
      </c>
      <c r="F1873" s="17">
        <v>0</v>
      </c>
      <c r="G1873" s="12" t="s">
        <v>24</v>
      </c>
      <c r="H1873" s="17">
        <v>0</v>
      </c>
      <c r="I1873" s="28"/>
      <c r="J1873" s="28"/>
      <c r="K1873" s="28"/>
    </row>
    <row r="1874" spans="1:11" s="4" customFormat="1" x14ac:dyDescent="0.25">
      <c r="A1874" s="41"/>
      <c r="B1874" s="44"/>
      <c r="C1874" s="12" t="s">
        <v>25</v>
      </c>
      <c r="D1874" s="17">
        <v>0</v>
      </c>
      <c r="E1874" s="12" t="s">
        <v>25</v>
      </c>
      <c r="F1874" s="17">
        <v>0</v>
      </c>
      <c r="G1874" s="12" t="s">
        <v>25</v>
      </c>
      <c r="H1874" s="17">
        <v>0</v>
      </c>
      <c r="I1874" s="29"/>
      <c r="J1874" s="28"/>
      <c r="K1874" s="29"/>
    </row>
    <row r="1875" spans="1:11" s="4" customFormat="1" x14ac:dyDescent="0.25">
      <c r="A1875" s="39" t="s">
        <v>612</v>
      </c>
      <c r="B1875" s="42" t="s">
        <v>613</v>
      </c>
      <c r="C1875" s="9" t="s">
        <v>28</v>
      </c>
      <c r="D1875" s="17">
        <f>D1877+D1878+D1879+D1880</f>
        <v>28</v>
      </c>
      <c r="E1875" s="9" t="s">
        <v>28</v>
      </c>
      <c r="F1875" s="17">
        <f>F1877+F1878+F1879+F1880</f>
        <v>0</v>
      </c>
      <c r="G1875" s="9" t="s">
        <v>28</v>
      </c>
      <c r="H1875" s="17">
        <f>H1877+H1878+H1879+H1880</f>
        <v>0</v>
      </c>
      <c r="I1875" s="27" t="s">
        <v>248</v>
      </c>
      <c r="J1875" s="28"/>
      <c r="K1875" s="27" t="s">
        <v>214</v>
      </c>
    </row>
    <row r="1876" spans="1:11" s="4" customFormat="1" x14ac:dyDescent="0.25">
      <c r="A1876" s="40"/>
      <c r="B1876" s="43"/>
      <c r="C1876" s="9" t="s">
        <v>21</v>
      </c>
      <c r="D1876" s="17"/>
      <c r="E1876" s="9" t="s">
        <v>21</v>
      </c>
      <c r="F1876" s="17"/>
      <c r="G1876" s="9" t="s">
        <v>21</v>
      </c>
      <c r="H1876" s="17"/>
      <c r="I1876" s="28"/>
      <c r="J1876" s="28"/>
      <c r="K1876" s="28"/>
    </row>
    <row r="1877" spans="1:11" s="4" customFormat="1" x14ac:dyDescent="0.25">
      <c r="A1877" s="40"/>
      <c r="B1877" s="43"/>
      <c r="C1877" s="12" t="s">
        <v>22</v>
      </c>
      <c r="D1877" s="17">
        <v>0</v>
      </c>
      <c r="E1877" s="12" t="s">
        <v>22</v>
      </c>
      <c r="F1877" s="17">
        <v>0</v>
      </c>
      <c r="G1877" s="12" t="s">
        <v>22</v>
      </c>
      <c r="H1877" s="17">
        <v>0</v>
      </c>
      <c r="I1877" s="28"/>
      <c r="J1877" s="28"/>
      <c r="K1877" s="28"/>
    </row>
    <row r="1878" spans="1:11" s="4" customFormat="1" x14ac:dyDescent="0.25">
      <c r="A1878" s="40"/>
      <c r="B1878" s="43"/>
      <c r="C1878" s="12" t="s">
        <v>23</v>
      </c>
      <c r="D1878" s="17">
        <v>0</v>
      </c>
      <c r="E1878" s="12" t="s">
        <v>23</v>
      </c>
      <c r="F1878" s="17">
        <v>0</v>
      </c>
      <c r="G1878" s="12" t="s">
        <v>23</v>
      </c>
      <c r="H1878" s="17">
        <v>0</v>
      </c>
      <c r="I1878" s="28"/>
      <c r="J1878" s="28"/>
      <c r="K1878" s="28"/>
    </row>
    <row r="1879" spans="1:11" s="4" customFormat="1" x14ac:dyDescent="0.25">
      <c r="A1879" s="40"/>
      <c r="B1879" s="43"/>
      <c r="C1879" s="12" t="s">
        <v>24</v>
      </c>
      <c r="D1879" s="17">
        <f>28000/1000</f>
        <v>28</v>
      </c>
      <c r="E1879" s="12" t="s">
        <v>24</v>
      </c>
      <c r="F1879" s="17">
        <v>0</v>
      </c>
      <c r="G1879" s="12" t="s">
        <v>24</v>
      </c>
      <c r="H1879" s="17">
        <v>0</v>
      </c>
      <c r="I1879" s="28"/>
      <c r="J1879" s="28"/>
      <c r="K1879" s="28"/>
    </row>
    <row r="1880" spans="1:11" s="4" customFormat="1" x14ac:dyDescent="0.25">
      <c r="A1880" s="41"/>
      <c r="B1880" s="44"/>
      <c r="C1880" s="12" t="s">
        <v>25</v>
      </c>
      <c r="D1880" s="17">
        <v>0</v>
      </c>
      <c r="E1880" s="12" t="s">
        <v>25</v>
      </c>
      <c r="F1880" s="17">
        <v>0</v>
      </c>
      <c r="G1880" s="12" t="s">
        <v>25</v>
      </c>
      <c r="H1880" s="17">
        <v>0</v>
      </c>
      <c r="I1880" s="29"/>
      <c r="J1880" s="28"/>
      <c r="K1880" s="29"/>
    </row>
    <row r="1881" spans="1:11" s="4" customFormat="1" x14ac:dyDescent="0.25">
      <c r="A1881" s="39" t="s">
        <v>614</v>
      </c>
      <c r="B1881" s="42" t="s">
        <v>615</v>
      </c>
      <c r="C1881" s="9" t="s">
        <v>28</v>
      </c>
      <c r="D1881" s="17">
        <f>D1883+D1884+D1885+D1886</f>
        <v>1838.9593200000002</v>
      </c>
      <c r="E1881" s="9" t="s">
        <v>28</v>
      </c>
      <c r="F1881" s="17">
        <f>F1883+F1884+F1885+F1886</f>
        <v>0</v>
      </c>
      <c r="G1881" s="9" t="s">
        <v>28</v>
      </c>
      <c r="H1881" s="17">
        <f>H1883+H1884+H1885+H1886</f>
        <v>0</v>
      </c>
      <c r="I1881" s="27" t="s">
        <v>248</v>
      </c>
      <c r="J1881" s="28"/>
      <c r="K1881" s="27" t="s">
        <v>214</v>
      </c>
    </row>
    <row r="1882" spans="1:11" s="4" customFormat="1" x14ac:dyDescent="0.25">
      <c r="A1882" s="40"/>
      <c r="B1882" s="43"/>
      <c r="C1882" s="9" t="s">
        <v>21</v>
      </c>
      <c r="D1882" s="17"/>
      <c r="E1882" s="9" t="s">
        <v>21</v>
      </c>
      <c r="F1882" s="17"/>
      <c r="G1882" s="9" t="s">
        <v>21</v>
      </c>
      <c r="H1882" s="17"/>
      <c r="I1882" s="28"/>
      <c r="J1882" s="28"/>
      <c r="K1882" s="28"/>
    </row>
    <row r="1883" spans="1:11" s="4" customFormat="1" x14ac:dyDescent="0.25">
      <c r="A1883" s="40"/>
      <c r="B1883" s="43"/>
      <c r="C1883" s="12" t="s">
        <v>22</v>
      </c>
      <c r="D1883" s="17">
        <v>0</v>
      </c>
      <c r="E1883" s="12" t="s">
        <v>22</v>
      </c>
      <c r="F1883" s="17">
        <v>0</v>
      </c>
      <c r="G1883" s="12" t="s">
        <v>22</v>
      </c>
      <c r="H1883" s="17">
        <v>0</v>
      </c>
      <c r="I1883" s="28"/>
      <c r="J1883" s="28"/>
      <c r="K1883" s="28"/>
    </row>
    <row r="1884" spans="1:11" s="4" customFormat="1" x14ac:dyDescent="0.25">
      <c r="A1884" s="40"/>
      <c r="B1884" s="43"/>
      <c r="C1884" s="12" t="s">
        <v>23</v>
      </c>
      <c r="D1884" s="17">
        <v>0</v>
      </c>
      <c r="E1884" s="12" t="s">
        <v>23</v>
      </c>
      <c r="F1884" s="17">
        <v>0</v>
      </c>
      <c r="G1884" s="12" t="s">
        <v>23</v>
      </c>
      <c r="H1884" s="17">
        <v>0</v>
      </c>
      <c r="I1884" s="28"/>
      <c r="J1884" s="28"/>
      <c r="K1884" s="28"/>
    </row>
    <row r="1885" spans="1:11" s="4" customFormat="1" x14ac:dyDescent="0.25">
      <c r="A1885" s="40"/>
      <c r="B1885" s="43"/>
      <c r="C1885" s="12" t="s">
        <v>24</v>
      </c>
      <c r="D1885" s="17">
        <f>1838959.32/1000</f>
        <v>1838.9593200000002</v>
      </c>
      <c r="E1885" s="12" t="s">
        <v>24</v>
      </c>
      <c r="F1885" s="17">
        <v>0</v>
      </c>
      <c r="G1885" s="12" t="s">
        <v>24</v>
      </c>
      <c r="H1885" s="17">
        <v>0</v>
      </c>
      <c r="I1885" s="28"/>
      <c r="J1885" s="28"/>
      <c r="K1885" s="28"/>
    </row>
    <row r="1886" spans="1:11" s="4" customFormat="1" x14ac:dyDescent="0.25">
      <c r="A1886" s="41"/>
      <c r="B1886" s="44"/>
      <c r="C1886" s="12" t="s">
        <v>25</v>
      </c>
      <c r="D1886" s="17">
        <v>0</v>
      </c>
      <c r="E1886" s="12" t="s">
        <v>25</v>
      </c>
      <c r="F1886" s="17">
        <v>0</v>
      </c>
      <c r="G1886" s="12" t="s">
        <v>25</v>
      </c>
      <c r="H1886" s="17">
        <v>0</v>
      </c>
      <c r="I1886" s="29"/>
      <c r="J1886" s="28"/>
      <c r="K1886" s="29"/>
    </row>
    <row r="1887" spans="1:11" s="4" customFormat="1" x14ac:dyDescent="0.25">
      <c r="A1887" s="39" t="s">
        <v>616</v>
      </c>
      <c r="B1887" s="42" t="s">
        <v>617</v>
      </c>
      <c r="C1887" s="9" t="s">
        <v>28</v>
      </c>
      <c r="D1887" s="17">
        <f>D1889+D1890+D1891+D1892</f>
        <v>2763.9</v>
      </c>
      <c r="E1887" s="9" t="s">
        <v>28</v>
      </c>
      <c r="F1887" s="17">
        <f>F1889+F1890+F1891+F1892</f>
        <v>0</v>
      </c>
      <c r="G1887" s="9" t="s">
        <v>28</v>
      </c>
      <c r="H1887" s="17">
        <f>H1889+H1890+H1891+H1892</f>
        <v>0</v>
      </c>
      <c r="I1887" s="27" t="s">
        <v>248</v>
      </c>
      <c r="J1887" s="28"/>
      <c r="K1887" s="27" t="s">
        <v>214</v>
      </c>
    </row>
    <row r="1888" spans="1:11" s="4" customFormat="1" x14ac:dyDescent="0.25">
      <c r="A1888" s="40"/>
      <c r="B1888" s="43"/>
      <c r="C1888" s="9" t="s">
        <v>21</v>
      </c>
      <c r="D1888" s="17"/>
      <c r="E1888" s="9" t="s">
        <v>21</v>
      </c>
      <c r="F1888" s="17"/>
      <c r="G1888" s="9" t="s">
        <v>21</v>
      </c>
      <c r="H1888" s="17"/>
      <c r="I1888" s="28"/>
      <c r="J1888" s="28"/>
      <c r="K1888" s="28"/>
    </row>
    <row r="1889" spans="1:11" s="4" customFormat="1" x14ac:dyDescent="0.25">
      <c r="A1889" s="40"/>
      <c r="B1889" s="43"/>
      <c r="C1889" s="12" t="s">
        <v>22</v>
      </c>
      <c r="D1889" s="17">
        <v>0</v>
      </c>
      <c r="E1889" s="12" t="s">
        <v>22</v>
      </c>
      <c r="F1889" s="17">
        <v>0</v>
      </c>
      <c r="G1889" s="12" t="s">
        <v>22</v>
      </c>
      <c r="H1889" s="17">
        <v>0</v>
      </c>
      <c r="I1889" s="28"/>
      <c r="J1889" s="28"/>
      <c r="K1889" s="28"/>
    </row>
    <row r="1890" spans="1:11" s="4" customFormat="1" x14ac:dyDescent="0.25">
      <c r="A1890" s="40"/>
      <c r="B1890" s="43"/>
      <c r="C1890" s="12" t="s">
        <v>23</v>
      </c>
      <c r="D1890" s="17">
        <v>0</v>
      </c>
      <c r="E1890" s="12" t="s">
        <v>23</v>
      </c>
      <c r="F1890" s="17">
        <v>0</v>
      </c>
      <c r="G1890" s="12" t="s">
        <v>23</v>
      </c>
      <c r="H1890" s="17">
        <v>0</v>
      </c>
      <c r="I1890" s="28"/>
      <c r="J1890" s="28"/>
      <c r="K1890" s="28"/>
    </row>
    <row r="1891" spans="1:11" s="4" customFormat="1" x14ac:dyDescent="0.25">
      <c r="A1891" s="40"/>
      <c r="B1891" s="43"/>
      <c r="C1891" s="12" t="s">
        <v>24</v>
      </c>
      <c r="D1891" s="17">
        <f>2763900/1000</f>
        <v>2763.9</v>
      </c>
      <c r="E1891" s="12" t="s">
        <v>24</v>
      </c>
      <c r="F1891" s="17">
        <v>0</v>
      </c>
      <c r="G1891" s="12" t="s">
        <v>24</v>
      </c>
      <c r="H1891" s="17">
        <v>0</v>
      </c>
      <c r="I1891" s="28"/>
      <c r="J1891" s="28"/>
      <c r="K1891" s="28"/>
    </row>
    <row r="1892" spans="1:11" s="4" customFormat="1" x14ac:dyDescent="0.25">
      <c r="A1892" s="41"/>
      <c r="B1892" s="44"/>
      <c r="C1892" s="12" t="s">
        <v>25</v>
      </c>
      <c r="D1892" s="17">
        <v>0</v>
      </c>
      <c r="E1892" s="12" t="s">
        <v>25</v>
      </c>
      <c r="F1892" s="17">
        <v>0</v>
      </c>
      <c r="G1892" s="12" t="s">
        <v>25</v>
      </c>
      <c r="H1892" s="17">
        <v>0</v>
      </c>
      <c r="I1892" s="29"/>
      <c r="J1892" s="28"/>
      <c r="K1892" s="29"/>
    </row>
    <row r="1893" spans="1:11" s="4" customFormat="1" x14ac:dyDescent="0.25">
      <c r="A1893" s="39" t="s">
        <v>618</v>
      </c>
      <c r="B1893" s="42" t="s">
        <v>619</v>
      </c>
      <c r="C1893" s="9" t="s">
        <v>28</v>
      </c>
      <c r="D1893" s="17">
        <f>D1895+D1896+D1897+D1898</f>
        <v>1308.43992</v>
      </c>
      <c r="E1893" s="9" t="s">
        <v>28</v>
      </c>
      <c r="F1893" s="17">
        <f>F1895+F1896+F1897+F1898</f>
        <v>0</v>
      </c>
      <c r="G1893" s="9" t="s">
        <v>28</v>
      </c>
      <c r="H1893" s="17">
        <f>H1895+H1896+H1897+H1898</f>
        <v>0</v>
      </c>
      <c r="I1893" s="27" t="s">
        <v>248</v>
      </c>
      <c r="J1893" s="28"/>
      <c r="K1893" s="27" t="s">
        <v>214</v>
      </c>
    </row>
    <row r="1894" spans="1:11" s="4" customFormat="1" x14ac:dyDescent="0.25">
      <c r="A1894" s="40"/>
      <c r="B1894" s="43"/>
      <c r="C1894" s="9" t="s">
        <v>21</v>
      </c>
      <c r="D1894" s="17"/>
      <c r="E1894" s="9" t="s">
        <v>21</v>
      </c>
      <c r="F1894" s="17"/>
      <c r="G1894" s="9" t="s">
        <v>21</v>
      </c>
      <c r="H1894" s="17"/>
      <c r="I1894" s="28"/>
      <c r="J1894" s="28"/>
      <c r="K1894" s="28"/>
    </row>
    <row r="1895" spans="1:11" s="4" customFormat="1" x14ac:dyDescent="0.25">
      <c r="A1895" s="40"/>
      <c r="B1895" s="43"/>
      <c r="C1895" s="12" t="s">
        <v>22</v>
      </c>
      <c r="D1895" s="17">
        <v>0</v>
      </c>
      <c r="E1895" s="12" t="s">
        <v>22</v>
      </c>
      <c r="F1895" s="17">
        <v>0</v>
      </c>
      <c r="G1895" s="12" t="s">
        <v>22</v>
      </c>
      <c r="H1895" s="17">
        <v>0</v>
      </c>
      <c r="I1895" s="28"/>
      <c r="J1895" s="28"/>
      <c r="K1895" s="28"/>
    </row>
    <row r="1896" spans="1:11" s="4" customFormat="1" x14ac:dyDescent="0.25">
      <c r="A1896" s="40"/>
      <c r="B1896" s="43"/>
      <c r="C1896" s="12" t="s">
        <v>23</v>
      </c>
      <c r="D1896" s="17">
        <v>0</v>
      </c>
      <c r="E1896" s="12" t="s">
        <v>23</v>
      </c>
      <c r="F1896" s="17">
        <v>0</v>
      </c>
      <c r="G1896" s="12" t="s">
        <v>23</v>
      </c>
      <c r="H1896" s="17">
        <v>0</v>
      </c>
      <c r="I1896" s="28"/>
      <c r="J1896" s="28"/>
      <c r="K1896" s="28"/>
    </row>
    <row r="1897" spans="1:11" s="4" customFormat="1" x14ac:dyDescent="0.25">
      <c r="A1897" s="40"/>
      <c r="B1897" s="43"/>
      <c r="C1897" s="12" t="s">
        <v>24</v>
      </c>
      <c r="D1897" s="17">
        <f>1308439.92/1000</f>
        <v>1308.43992</v>
      </c>
      <c r="E1897" s="12" t="s">
        <v>24</v>
      </c>
      <c r="F1897" s="17">
        <v>0</v>
      </c>
      <c r="G1897" s="12" t="s">
        <v>24</v>
      </c>
      <c r="H1897" s="17">
        <v>0</v>
      </c>
      <c r="I1897" s="28"/>
      <c r="J1897" s="28"/>
      <c r="K1897" s="28"/>
    </row>
    <row r="1898" spans="1:11" s="4" customFormat="1" x14ac:dyDescent="0.25">
      <c r="A1898" s="41"/>
      <c r="B1898" s="44"/>
      <c r="C1898" s="12" t="s">
        <v>25</v>
      </c>
      <c r="D1898" s="17">
        <v>0</v>
      </c>
      <c r="E1898" s="12" t="s">
        <v>25</v>
      </c>
      <c r="F1898" s="17">
        <v>0</v>
      </c>
      <c r="G1898" s="12" t="s">
        <v>25</v>
      </c>
      <c r="H1898" s="17">
        <v>0</v>
      </c>
      <c r="I1898" s="29"/>
      <c r="J1898" s="28"/>
      <c r="K1898" s="29"/>
    </row>
    <row r="1899" spans="1:11" s="4" customFormat="1" x14ac:dyDescent="0.25">
      <c r="A1899" s="39" t="s">
        <v>620</v>
      </c>
      <c r="B1899" s="42" t="s">
        <v>621</v>
      </c>
      <c r="C1899" s="9" t="s">
        <v>28</v>
      </c>
      <c r="D1899" s="17">
        <f>D1901+D1902+D1903+D1904</f>
        <v>1593.7559799999999</v>
      </c>
      <c r="E1899" s="9" t="s">
        <v>28</v>
      </c>
      <c r="F1899" s="17">
        <f>F1901+F1902+F1903+F1904</f>
        <v>0</v>
      </c>
      <c r="G1899" s="9" t="s">
        <v>28</v>
      </c>
      <c r="H1899" s="17">
        <f>H1901+H1902+H1903+H1904</f>
        <v>0</v>
      </c>
      <c r="I1899" s="27" t="s">
        <v>248</v>
      </c>
      <c r="J1899" s="28"/>
      <c r="K1899" s="27" t="s">
        <v>214</v>
      </c>
    </row>
    <row r="1900" spans="1:11" s="4" customFormat="1" x14ac:dyDescent="0.25">
      <c r="A1900" s="40"/>
      <c r="B1900" s="43"/>
      <c r="C1900" s="9" t="s">
        <v>21</v>
      </c>
      <c r="D1900" s="17"/>
      <c r="E1900" s="9" t="s">
        <v>21</v>
      </c>
      <c r="F1900" s="17"/>
      <c r="G1900" s="9" t="s">
        <v>21</v>
      </c>
      <c r="H1900" s="17"/>
      <c r="I1900" s="28"/>
      <c r="J1900" s="28"/>
      <c r="K1900" s="28"/>
    </row>
    <row r="1901" spans="1:11" s="4" customFormat="1" x14ac:dyDescent="0.25">
      <c r="A1901" s="40"/>
      <c r="B1901" s="43"/>
      <c r="C1901" s="12" t="s">
        <v>22</v>
      </c>
      <c r="D1901" s="17">
        <v>0</v>
      </c>
      <c r="E1901" s="12" t="s">
        <v>22</v>
      </c>
      <c r="F1901" s="17">
        <v>0</v>
      </c>
      <c r="G1901" s="12" t="s">
        <v>22</v>
      </c>
      <c r="H1901" s="17">
        <v>0</v>
      </c>
      <c r="I1901" s="28"/>
      <c r="J1901" s="28"/>
      <c r="K1901" s="28"/>
    </row>
    <row r="1902" spans="1:11" s="4" customFormat="1" x14ac:dyDescent="0.25">
      <c r="A1902" s="40"/>
      <c r="B1902" s="43"/>
      <c r="C1902" s="12" t="s">
        <v>23</v>
      </c>
      <c r="D1902" s="17">
        <v>0</v>
      </c>
      <c r="E1902" s="12" t="s">
        <v>23</v>
      </c>
      <c r="F1902" s="17">
        <v>0</v>
      </c>
      <c r="G1902" s="12" t="s">
        <v>23</v>
      </c>
      <c r="H1902" s="17">
        <v>0</v>
      </c>
      <c r="I1902" s="28"/>
      <c r="J1902" s="28"/>
      <c r="K1902" s="28"/>
    </row>
    <row r="1903" spans="1:11" s="4" customFormat="1" x14ac:dyDescent="0.25">
      <c r="A1903" s="40"/>
      <c r="B1903" s="43"/>
      <c r="C1903" s="12" t="s">
        <v>24</v>
      </c>
      <c r="D1903" s="17">
        <f>1593755.98/1000</f>
        <v>1593.7559799999999</v>
      </c>
      <c r="E1903" s="12" t="s">
        <v>24</v>
      </c>
      <c r="F1903" s="17">
        <v>0</v>
      </c>
      <c r="G1903" s="12" t="s">
        <v>24</v>
      </c>
      <c r="H1903" s="17">
        <v>0</v>
      </c>
      <c r="I1903" s="28"/>
      <c r="J1903" s="28"/>
      <c r="K1903" s="28"/>
    </row>
    <row r="1904" spans="1:11" s="4" customFormat="1" x14ac:dyDescent="0.25">
      <c r="A1904" s="41"/>
      <c r="B1904" s="44"/>
      <c r="C1904" s="12" t="s">
        <v>25</v>
      </c>
      <c r="D1904" s="17">
        <v>0</v>
      </c>
      <c r="E1904" s="12" t="s">
        <v>25</v>
      </c>
      <c r="F1904" s="17">
        <v>0</v>
      </c>
      <c r="G1904" s="12" t="s">
        <v>25</v>
      </c>
      <c r="H1904" s="17">
        <v>0</v>
      </c>
      <c r="I1904" s="29"/>
      <c r="J1904" s="28"/>
      <c r="K1904" s="29"/>
    </row>
    <row r="1905" spans="1:11" s="4" customFormat="1" x14ac:dyDescent="0.25">
      <c r="A1905" s="39" t="s">
        <v>622</v>
      </c>
      <c r="B1905" s="42" t="s">
        <v>623</v>
      </c>
      <c r="C1905" s="9" t="s">
        <v>28</v>
      </c>
      <c r="D1905" s="17">
        <f>D1907+D1908+D1909+D1910</f>
        <v>2277.2369100000001</v>
      </c>
      <c r="E1905" s="9" t="s">
        <v>28</v>
      </c>
      <c r="F1905" s="17">
        <f>F1907+F1908+F1909+F1910</f>
        <v>0</v>
      </c>
      <c r="G1905" s="9" t="s">
        <v>28</v>
      </c>
      <c r="H1905" s="17">
        <f>H1907+H1908+H1909+H1910</f>
        <v>0</v>
      </c>
      <c r="I1905" s="27" t="s">
        <v>248</v>
      </c>
      <c r="J1905" s="28"/>
      <c r="K1905" s="27" t="s">
        <v>214</v>
      </c>
    </row>
    <row r="1906" spans="1:11" s="4" customFormat="1" x14ac:dyDescent="0.25">
      <c r="A1906" s="40"/>
      <c r="B1906" s="43"/>
      <c r="C1906" s="9" t="s">
        <v>21</v>
      </c>
      <c r="D1906" s="17"/>
      <c r="E1906" s="9" t="s">
        <v>21</v>
      </c>
      <c r="F1906" s="17"/>
      <c r="G1906" s="9" t="s">
        <v>21</v>
      </c>
      <c r="H1906" s="17"/>
      <c r="I1906" s="28"/>
      <c r="J1906" s="28"/>
      <c r="K1906" s="28"/>
    </row>
    <row r="1907" spans="1:11" s="4" customFormat="1" x14ac:dyDescent="0.25">
      <c r="A1907" s="40"/>
      <c r="B1907" s="43"/>
      <c r="C1907" s="12" t="s">
        <v>22</v>
      </c>
      <c r="D1907" s="17">
        <v>0</v>
      </c>
      <c r="E1907" s="12" t="s">
        <v>22</v>
      </c>
      <c r="F1907" s="17">
        <v>0</v>
      </c>
      <c r="G1907" s="12" t="s">
        <v>22</v>
      </c>
      <c r="H1907" s="17">
        <v>0</v>
      </c>
      <c r="I1907" s="28"/>
      <c r="J1907" s="28"/>
      <c r="K1907" s="28"/>
    </row>
    <row r="1908" spans="1:11" s="4" customFormat="1" x14ac:dyDescent="0.25">
      <c r="A1908" s="40"/>
      <c r="B1908" s="43"/>
      <c r="C1908" s="12" t="s">
        <v>23</v>
      </c>
      <c r="D1908" s="17">
        <v>0</v>
      </c>
      <c r="E1908" s="12" t="s">
        <v>23</v>
      </c>
      <c r="F1908" s="17">
        <v>0</v>
      </c>
      <c r="G1908" s="12" t="s">
        <v>23</v>
      </c>
      <c r="H1908" s="17">
        <v>0</v>
      </c>
      <c r="I1908" s="28"/>
      <c r="J1908" s="28"/>
      <c r="K1908" s="28"/>
    </row>
    <row r="1909" spans="1:11" s="4" customFormat="1" x14ac:dyDescent="0.25">
      <c r="A1909" s="40"/>
      <c r="B1909" s="43"/>
      <c r="C1909" s="12" t="s">
        <v>24</v>
      </c>
      <c r="D1909" s="17">
        <f>2277236.91/1000</f>
        <v>2277.2369100000001</v>
      </c>
      <c r="E1909" s="12" t="s">
        <v>24</v>
      </c>
      <c r="F1909" s="17">
        <v>0</v>
      </c>
      <c r="G1909" s="12" t="s">
        <v>24</v>
      </c>
      <c r="H1909" s="17">
        <v>0</v>
      </c>
      <c r="I1909" s="28"/>
      <c r="J1909" s="28"/>
      <c r="K1909" s="28"/>
    </row>
    <row r="1910" spans="1:11" s="4" customFormat="1" x14ac:dyDescent="0.25">
      <c r="A1910" s="41"/>
      <c r="B1910" s="44"/>
      <c r="C1910" s="12" t="s">
        <v>25</v>
      </c>
      <c r="D1910" s="17">
        <v>0</v>
      </c>
      <c r="E1910" s="12" t="s">
        <v>25</v>
      </c>
      <c r="F1910" s="17">
        <v>0</v>
      </c>
      <c r="G1910" s="12" t="s">
        <v>25</v>
      </c>
      <c r="H1910" s="17">
        <v>0</v>
      </c>
      <c r="I1910" s="29"/>
      <c r="J1910" s="28"/>
      <c r="K1910" s="29"/>
    </row>
    <row r="1911" spans="1:11" s="4" customFormat="1" x14ac:dyDescent="0.25">
      <c r="A1911" s="39" t="s">
        <v>624</v>
      </c>
      <c r="B1911" s="42" t="s">
        <v>625</v>
      </c>
      <c r="C1911" s="9" t="s">
        <v>28</v>
      </c>
      <c r="D1911" s="17">
        <f>D1913+D1914+D1915+D1916</f>
        <v>201.42342000000002</v>
      </c>
      <c r="E1911" s="9" t="s">
        <v>28</v>
      </c>
      <c r="F1911" s="17">
        <f>F1913+F1914+F1915+F1916</f>
        <v>0</v>
      </c>
      <c r="G1911" s="9" t="s">
        <v>28</v>
      </c>
      <c r="H1911" s="17">
        <f>H1913+H1914+H1915+H1916</f>
        <v>0</v>
      </c>
      <c r="I1911" s="27" t="s">
        <v>248</v>
      </c>
      <c r="J1911" s="28"/>
      <c r="K1911" s="27" t="s">
        <v>214</v>
      </c>
    </row>
    <row r="1912" spans="1:11" s="4" customFormat="1" x14ac:dyDescent="0.25">
      <c r="A1912" s="40"/>
      <c r="B1912" s="43"/>
      <c r="C1912" s="9" t="s">
        <v>21</v>
      </c>
      <c r="D1912" s="17"/>
      <c r="E1912" s="9" t="s">
        <v>21</v>
      </c>
      <c r="F1912" s="17"/>
      <c r="G1912" s="9" t="s">
        <v>21</v>
      </c>
      <c r="H1912" s="17"/>
      <c r="I1912" s="28"/>
      <c r="J1912" s="28"/>
      <c r="K1912" s="28"/>
    </row>
    <row r="1913" spans="1:11" s="4" customFormat="1" x14ac:dyDescent="0.25">
      <c r="A1913" s="40"/>
      <c r="B1913" s="43"/>
      <c r="C1913" s="12" t="s">
        <v>22</v>
      </c>
      <c r="D1913" s="17">
        <v>0</v>
      </c>
      <c r="E1913" s="12" t="s">
        <v>22</v>
      </c>
      <c r="F1913" s="17">
        <v>0</v>
      </c>
      <c r="G1913" s="12" t="s">
        <v>22</v>
      </c>
      <c r="H1913" s="17">
        <v>0</v>
      </c>
      <c r="I1913" s="28"/>
      <c r="J1913" s="28"/>
      <c r="K1913" s="28"/>
    </row>
    <row r="1914" spans="1:11" s="4" customFormat="1" x14ac:dyDescent="0.25">
      <c r="A1914" s="40"/>
      <c r="B1914" s="43"/>
      <c r="C1914" s="12" t="s">
        <v>23</v>
      </c>
      <c r="D1914" s="17">
        <v>0</v>
      </c>
      <c r="E1914" s="12" t="s">
        <v>23</v>
      </c>
      <c r="F1914" s="17">
        <v>0</v>
      </c>
      <c r="G1914" s="12" t="s">
        <v>23</v>
      </c>
      <c r="H1914" s="17">
        <v>0</v>
      </c>
      <c r="I1914" s="28"/>
      <c r="J1914" s="28"/>
      <c r="K1914" s="28"/>
    </row>
    <row r="1915" spans="1:11" s="4" customFormat="1" x14ac:dyDescent="0.25">
      <c r="A1915" s="40"/>
      <c r="B1915" s="43"/>
      <c r="C1915" s="12" t="s">
        <v>24</v>
      </c>
      <c r="D1915" s="17">
        <f>201423.42/1000</f>
        <v>201.42342000000002</v>
      </c>
      <c r="E1915" s="12" t="s">
        <v>24</v>
      </c>
      <c r="F1915" s="17">
        <v>0</v>
      </c>
      <c r="G1915" s="12" t="s">
        <v>24</v>
      </c>
      <c r="H1915" s="17">
        <v>0</v>
      </c>
      <c r="I1915" s="28"/>
      <c r="J1915" s="28"/>
      <c r="K1915" s="28"/>
    </row>
    <row r="1916" spans="1:11" s="4" customFormat="1" x14ac:dyDescent="0.25">
      <c r="A1916" s="41"/>
      <c r="B1916" s="44"/>
      <c r="C1916" s="12" t="s">
        <v>25</v>
      </c>
      <c r="D1916" s="17">
        <v>0</v>
      </c>
      <c r="E1916" s="12" t="s">
        <v>25</v>
      </c>
      <c r="F1916" s="17">
        <v>0</v>
      </c>
      <c r="G1916" s="12" t="s">
        <v>25</v>
      </c>
      <c r="H1916" s="17">
        <v>0</v>
      </c>
      <c r="I1916" s="29"/>
      <c r="J1916" s="28"/>
      <c r="K1916" s="29"/>
    </row>
    <row r="1917" spans="1:11" s="4" customFormat="1" x14ac:dyDescent="0.25">
      <c r="A1917" s="39" t="s">
        <v>626</v>
      </c>
      <c r="B1917" s="42" t="s">
        <v>627</v>
      </c>
      <c r="C1917" s="9" t="s">
        <v>28</v>
      </c>
      <c r="D1917" s="17">
        <f>D1919+D1920+D1921+D1922</f>
        <v>212.05055999999999</v>
      </c>
      <c r="E1917" s="9" t="s">
        <v>28</v>
      </c>
      <c r="F1917" s="17">
        <f>F1919+F1920+F1921+F1922</f>
        <v>0</v>
      </c>
      <c r="G1917" s="9" t="s">
        <v>28</v>
      </c>
      <c r="H1917" s="17">
        <f>H1919+H1920+H1921+H1922</f>
        <v>0</v>
      </c>
      <c r="I1917" s="27" t="s">
        <v>248</v>
      </c>
      <c r="J1917" s="28"/>
      <c r="K1917" s="27" t="s">
        <v>214</v>
      </c>
    </row>
    <row r="1918" spans="1:11" s="4" customFormat="1" x14ac:dyDescent="0.25">
      <c r="A1918" s="40"/>
      <c r="B1918" s="43"/>
      <c r="C1918" s="9" t="s">
        <v>21</v>
      </c>
      <c r="D1918" s="17"/>
      <c r="E1918" s="9" t="s">
        <v>21</v>
      </c>
      <c r="F1918" s="17"/>
      <c r="G1918" s="9" t="s">
        <v>21</v>
      </c>
      <c r="H1918" s="17"/>
      <c r="I1918" s="28"/>
      <c r="J1918" s="28"/>
      <c r="K1918" s="28"/>
    </row>
    <row r="1919" spans="1:11" s="4" customFormat="1" x14ac:dyDescent="0.25">
      <c r="A1919" s="40"/>
      <c r="B1919" s="43"/>
      <c r="C1919" s="12" t="s">
        <v>22</v>
      </c>
      <c r="D1919" s="17">
        <v>0</v>
      </c>
      <c r="E1919" s="12" t="s">
        <v>22</v>
      </c>
      <c r="F1919" s="17">
        <v>0</v>
      </c>
      <c r="G1919" s="12" t="s">
        <v>22</v>
      </c>
      <c r="H1919" s="17">
        <v>0</v>
      </c>
      <c r="I1919" s="28"/>
      <c r="J1919" s="28"/>
      <c r="K1919" s="28"/>
    </row>
    <row r="1920" spans="1:11" s="4" customFormat="1" x14ac:dyDescent="0.25">
      <c r="A1920" s="40"/>
      <c r="B1920" s="43"/>
      <c r="C1920" s="12" t="s">
        <v>23</v>
      </c>
      <c r="D1920" s="17">
        <v>0</v>
      </c>
      <c r="E1920" s="12" t="s">
        <v>23</v>
      </c>
      <c r="F1920" s="17">
        <v>0</v>
      </c>
      <c r="G1920" s="12" t="s">
        <v>23</v>
      </c>
      <c r="H1920" s="17">
        <v>0</v>
      </c>
      <c r="I1920" s="28"/>
      <c r="J1920" s="28"/>
      <c r="K1920" s="28"/>
    </row>
    <row r="1921" spans="1:11" s="4" customFormat="1" x14ac:dyDescent="0.25">
      <c r="A1921" s="40"/>
      <c r="B1921" s="43"/>
      <c r="C1921" s="12" t="s">
        <v>24</v>
      </c>
      <c r="D1921" s="17">
        <f>212050.56/1000</f>
        <v>212.05055999999999</v>
      </c>
      <c r="E1921" s="12" t="s">
        <v>24</v>
      </c>
      <c r="F1921" s="17">
        <v>0</v>
      </c>
      <c r="G1921" s="12" t="s">
        <v>24</v>
      </c>
      <c r="H1921" s="17">
        <v>0</v>
      </c>
      <c r="I1921" s="28"/>
      <c r="J1921" s="28"/>
      <c r="K1921" s="28"/>
    </row>
    <row r="1922" spans="1:11" s="4" customFormat="1" x14ac:dyDescent="0.25">
      <c r="A1922" s="41"/>
      <c r="B1922" s="44"/>
      <c r="C1922" s="12" t="s">
        <v>25</v>
      </c>
      <c r="D1922" s="17">
        <v>0</v>
      </c>
      <c r="E1922" s="12" t="s">
        <v>25</v>
      </c>
      <c r="F1922" s="17">
        <v>0</v>
      </c>
      <c r="G1922" s="12" t="s">
        <v>25</v>
      </c>
      <c r="H1922" s="17">
        <v>0</v>
      </c>
      <c r="I1922" s="29"/>
      <c r="J1922" s="28"/>
      <c r="K1922" s="29"/>
    </row>
    <row r="1923" spans="1:11" s="4" customFormat="1" x14ac:dyDescent="0.25">
      <c r="A1923" s="39" t="s">
        <v>628</v>
      </c>
      <c r="B1923" s="42" t="s">
        <v>629</v>
      </c>
      <c r="C1923" s="9" t="s">
        <v>28</v>
      </c>
      <c r="D1923" s="17">
        <f>D1925+D1926+D1927+D1928</f>
        <v>30</v>
      </c>
      <c r="E1923" s="9" t="s">
        <v>28</v>
      </c>
      <c r="F1923" s="17">
        <f>F1925+F1926+F1927+F1928</f>
        <v>0</v>
      </c>
      <c r="G1923" s="9" t="s">
        <v>28</v>
      </c>
      <c r="H1923" s="17">
        <f>H1925+H1926+H1927+H1928</f>
        <v>0</v>
      </c>
      <c r="I1923" s="27" t="s">
        <v>248</v>
      </c>
      <c r="J1923" s="28"/>
      <c r="K1923" s="27" t="s">
        <v>214</v>
      </c>
    </row>
    <row r="1924" spans="1:11" s="4" customFormat="1" x14ac:dyDescent="0.25">
      <c r="A1924" s="40"/>
      <c r="B1924" s="43"/>
      <c r="C1924" s="9" t="s">
        <v>21</v>
      </c>
      <c r="D1924" s="17"/>
      <c r="E1924" s="9" t="s">
        <v>21</v>
      </c>
      <c r="F1924" s="17"/>
      <c r="G1924" s="9" t="s">
        <v>21</v>
      </c>
      <c r="H1924" s="17"/>
      <c r="I1924" s="28"/>
      <c r="J1924" s="28"/>
      <c r="K1924" s="28"/>
    </row>
    <row r="1925" spans="1:11" s="4" customFormat="1" x14ac:dyDescent="0.25">
      <c r="A1925" s="40"/>
      <c r="B1925" s="43"/>
      <c r="C1925" s="12" t="s">
        <v>22</v>
      </c>
      <c r="D1925" s="17">
        <v>0</v>
      </c>
      <c r="E1925" s="12" t="s">
        <v>22</v>
      </c>
      <c r="F1925" s="17">
        <v>0</v>
      </c>
      <c r="G1925" s="12" t="s">
        <v>22</v>
      </c>
      <c r="H1925" s="17">
        <v>0</v>
      </c>
      <c r="I1925" s="28"/>
      <c r="J1925" s="28"/>
      <c r="K1925" s="28"/>
    </row>
    <row r="1926" spans="1:11" s="4" customFormat="1" x14ac:dyDescent="0.25">
      <c r="A1926" s="40"/>
      <c r="B1926" s="43"/>
      <c r="C1926" s="12" t="s">
        <v>23</v>
      </c>
      <c r="D1926" s="17">
        <v>0</v>
      </c>
      <c r="E1926" s="12" t="s">
        <v>23</v>
      </c>
      <c r="F1926" s="17">
        <v>0</v>
      </c>
      <c r="G1926" s="12" t="s">
        <v>23</v>
      </c>
      <c r="H1926" s="17">
        <v>0</v>
      </c>
      <c r="I1926" s="28"/>
      <c r="J1926" s="28"/>
      <c r="K1926" s="28"/>
    </row>
    <row r="1927" spans="1:11" s="4" customFormat="1" x14ac:dyDescent="0.25">
      <c r="A1927" s="40"/>
      <c r="B1927" s="43"/>
      <c r="C1927" s="12" t="s">
        <v>24</v>
      </c>
      <c r="D1927" s="17">
        <f>30000/1000</f>
        <v>30</v>
      </c>
      <c r="E1927" s="12" t="s">
        <v>24</v>
      </c>
      <c r="F1927" s="17">
        <v>0</v>
      </c>
      <c r="G1927" s="12" t="s">
        <v>24</v>
      </c>
      <c r="H1927" s="17">
        <v>0</v>
      </c>
      <c r="I1927" s="28"/>
      <c r="J1927" s="28"/>
      <c r="K1927" s="28"/>
    </row>
    <row r="1928" spans="1:11" s="4" customFormat="1" x14ac:dyDescent="0.25">
      <c r="A1928" s="41"/>
      <c r="B1928" s="44"/>
      <c r="C1928" s="12" t="s">
        <v>25</v>
      </c>
      <c r="D1928" s="17">
        <v>0</v>
      </c>
      <c r="E1928" s="12" t="s">
        <v>25</v>
      </c>
      <c r="F1928" s="17">
        <v>0</v>
      </c>
      <c r="G1928" s="12" t="s">
        <v>25</v>
      </c>
      <c r="H1928" s="17">
        <v>0</v>
      </c>
      <c r="I1928" s="29"/>
      <c r="J1928" s="28"/>
      <c r="K1928" s="29"/>
    </row>
    <row r="1929" spans="1:11" s="4" customFormat="1" x14ac:dyDescent="0.25">
      <c r="A1929" s="39" t="s">
        <v>630</v>
      </c>
      <c r="B1929" s="42" t="s">
        <v>631</v>
      </c>
      <c r="C1929" s="9" t="s">
        <v>28</v>
      </c>
      <c r="D1929" s="17">
        <f>D1931+D1932+D1933+D1934</f>
        <v>280.59179999999998</v>
      </c>
      <c r="E1929" s="9" t="s">
        <v>28</v>
      </c>
      <c r="F1929" s="17">
        <f>F1931+F1932+F1933+F1934</f>
        <v>0</v>
      </c>
      <c r="G1929" s="9" t="s">
        <v>28</v>
      </c>
      <c r="H1929" s="17">
        <f>H1931+H1932+H1933+H1934</f>
        <v>0</v>
      </c>
      <c r="I1929" s="27" t="s">
        <v>248</v>
      </c>
      <c r="J1929" s="28"/>
      <c r="K1929" s="27" t="s">
        <v>214</v>
      </c>
    </row>
    <row r="1930" spans="1:11" s="4" customFormat="1" x14ac:dyDescent="0.25">
      <c r="A1930" s="40"/>
      <c r="B1930" s="43"/>
      <c r="C1930" s="9" t="s">
        <v>21</v>
      </c>
      <c r="D1930" s="17"/>
      <c r="E1930" s="9" t="s">
        <v>21</v>
      </c>
      <c r="F1930" s="17"/>
      <c r="G1930" s="9" t="s">
        <v>21</v>
      </c>
      <c r="H1930" s="17"/>
      <c r="I1930" s="28"/>
      <c r="J1930" s="28"/>
      <c r="K1930" s="28"/>
    </row>
    <row r="1931" spans="1:11" s="4" customFormat="1" x14ac:dyDescent="0.25">
      <c r="A1931" s="40"/>
      <c r="B1931" s="43"/>
      <c r="C1931" s="12" t="s">
        <v>22</v>
      </c>
      <c r="D1931" s="17">
        <v>0</v>
      </c>
      <c r="E1931" s="12" t="s">
        <v>22</v>
      </c>
      <c r="F1931" s="17">
        <v>0</v>
      </c>
      <c r="G1931" s="12" t="s">
        <v>22</v>
      </c>
      <c r="H1931" s="17">
        <v>0</v>
      </c>
      <c r="I1931" s="28"/>
      <c r="J1931" s="28"/>
      <c r="K1931" s="28"/>
    </row>
    <row r="1932" spans="1:11" s="4" customFormat="1" x14ac:dyDescent="0.25">
      <c r="A1932" s="40"/>
      <c r="B1932" s="43"/>
      <c r="C1932" s="12" t="s">
        <v>23</v>
      </c>
      <c r="D1932" s="17">
        <v>0</v>
      </c>
      <c r="E1932" s="12" t="s">
        <v>23</v>
      </c>
      <c r="F1932" s="17">
        <v>0</v>
      </c>
      <c r="G1932" s="12" t="s">
        <v>23</v>
      </c>
      <c r="H1932" s="17">
        <v>0</v>
      </c>
      <c r="I1932" s="28"/>
      <c r="J1932" s="28"/>
      <c r="K1932" s="28"/>
    </row>
    <row r="1933" spans="1:11" s="4" customFormat="1" x14ac:dyDescent="0.25">
      <c r="A1933" s="40"/>
      <c r="B1933" s="43"/>
      <c r="C1933" s="12" t="s">
        <v>24</v>
      </c>
      <c r="D1933" s="17">
        <f>280591.8/1000</f>
        <v>280.59179999999998</v>
      </c>
      <c r="E1933" s="12" t="s">
        <v>24</v>
      </c>
      <c r="F1933" s="17">
        <v>0</v>
      </c>
      <c r="G1933" s="12" t="s">
        <v>24</v>
      </c>
      <c r="H1933" s="17">
        <v>0</v>
      </c>
      <c r="I1933" s="28"/>
      <c r="J1933" s="28"/>
      <c r="K1933" s="28"/>
    </row>
    <row r="1934" spans="1:11" s="4" customFormat="1" x14ac:dyDescent="0.25">
      <c r="A1934" s="41"/>
      <c r="B1934" s="44"/>
      <c r="C1934" s="12" t="s">
        <v>25</v>
      </c>
      <c r="D1934" s="17">
        <v>0</v>
      </c>
      <c r="E1934" s="12" t="s">
        <v>25</v>
      </c>
      <c r="F1934" s="17">
        <v>0</v>
      </c>
      <c r="G1934" s="12" t="s">
        <v>25</v>
      </c>
      <c r="H1934" s="17">
        <v>0</v>
      </c>
      <c r="I1934" s="29"/>
      <c r="J1934" s="28"/>
      <c r="K1934" s="29"/>
    </row>
    <row r="1935" spans="1:11" s="4" customFormat="1" x14ac:dyDescent="0.25">
      <c r="A1935" s="39" t="s">
        <v>632</v>
      </c>
      <c r="B1935" s="42" t="s">
        <v>633</v>
      </c>
      <c r="C1935" s="9" t="s">
        <v>28</v>
      </c>
      <c r="D1935" s="17">
        <f>D1937+D1938+D1939+D1940</f>
        <v>75.400000000000006</v>
      </c>
      <c r="E1935" s="9" t="s">
        <v>28</v>
      </c>
      <c r="F1935" s="17">
        <f>F1937+F1938+F1939+F1940</f>
        <v>0</v>
      </c>
      <c r="G1935" s="9" t="s">
        <v>28</v>
      </c>
      <c r="H1935" s="17">
        <f>H1937+H1938+H1939+H1940</f>
        <v>0</v>
      </c>
      <c r="I1935" s="27" t="s">
        <v>248</v>
      </c>
      <c r="J1935" s="28"/>
      <c r="K1935" s="27" t="s">
        <v>214</v>
      </c>
    </row>
    <row r="1936" spans="1:11" s="4" customFormat="1" x14ac:dyDescent="0.25">
      <c r="A1936" s="40"/>
      <c r="B1936" s="43"/>
      <c r="C1936" s="9" t="s">
        <v>21</v>
      </c>
      <c r="D1936" s="17"/>
      <c r="E1936" s="9" t="s">
        <v>21</v>
      </c>
      <c r="F1936" s="17"/>
      <c r="G1936" s="9" t="s">
        <v>21</v>
      </c>
      <c r="H1936" s="17"/>
      <c r="I1936" s="28"/>
      <c r="J1936" s="28"/>
      <c r="K1936" s="28"/>
    </row>
    <row r="1937" spans="1:11" s="4" customFormat="1" x14ac:dyDescent="0.25">
      <c r="A1937" s="40"/>
      <c r="B1937" s="43"/>
      <c r="C1937" s="12" t="s">
        <v>22</v>
      </c>
      <c r="D1937" s="17">
        <v>0</v>
      </c>
      <c r="E1937" s="12" t="s">
        <v>22</v>
      </c>
      <c r="F1937" s="17">
        <v>0</v>
      </c>
      <c r="G1937" s="12" t="s">
        <v>22</v>
      </c>
      <c r="H1937" s="17">
        <v>0</v>
      </c>
      <c r="I1937" s="28"/>
      <c r="J1937" s="28"/>
      <c r="K1937" s="28"/>
    </row>
    <row r="1938" spans="1:11" s="4" customFormat="1" x14ac:dyDescent="0.25">
      <c r="A1938" s="40"/>
      <c r="B1938" s="43"/>
      <c r="C1938" s="12" t="s">
        <v>23</v>
      </c>
      <c r="D1938" s="17">
        <v>0</v>
      </c>
      <c r="E1938" s="12" t="s">
        <v>23</v>
      </c>
      <c r="F1938" s="17">
        <v>0</v>
      </c>
      <c r="G1938" s="12" t="s">
        <v>23</v>
      </c>
      <c r="H1938" s="17">
        <v>0</v>
      </c>
      <c r="I1938" s="28"/>
      <c r="J1938" s="28"/>
      <c r="K1938" s="28"/>
    </row>
    <row r="1939" spans="1:11" s="4" customFormat="1" x14ac:dyDescent="0.25">
      <c r="A1939" s="40"/>
      <c r="B1939" s="43"/>
      <c r="C1939" s="12" t="s">
        <v>24</v>
      </c>
      <c r="D1939" s="17">
        <f>75400/1000</f>
        <v>75.400000000000006</v>
      </c>
      <c r="E1939" s="12" t="s">
        <v>24</v>
      </c>
      <c r="F1939" s="17">
        <v>0</v>
      </c>
      <c r="G1939" s="12" t="s">
        <v>24</v>
      </c>
      <c r="H1939" s="17">
        <v>0</v>
      </c>
      <c r="I1939" s="28"/>
      <c r="J1939" s="28"/>
      <c r="K1939" s="28"/>
    </row>
    <row r="1940" spans="1:11" s="4" customFormat="1" x14ac:dyDescent="0.25">
      <c r="A1940" s="41"/>
      <c r="B1940" s="44"/>
      <c r="C1940" s="12" t="s">
        <v>25</v>
      </c>
      <c r="D1940" s="17">
        <v>0</v>
      </c>
      <c r="E1940" s="12" t="s">
        <v>25</v>
      </c>
      <c r="F1940" s="17">
        <v>0</v>
      </c>
      <c r="G1940" s="12" t="s">
        <v>25</v>
      </c>
      <c r="H1940" s="17">
        <v>0</v>
      </c>
      <c r="I1940" s="29"/>
      <c r="J1940" s="28"/>
      <c r="K1940" s="29"/>
    </row>
    <row r="1941" spans="1:11" s="4" customFormat="1" x14ac:dyDescent="0.25">
      <c r="A1941" s="39" t="s">
        <v>634</v>
      </c>
      <c r="B1941" s="42" t="s">
        <v>635</v>
      </c>
      <c r="C1941" s="9" t="s">
        <v>28</v>
      </c>
      <c r="D1941" s="17">
        <f>D1943+D1944+D1945+D1946</f>
        <v>352.92013000000003</v>
      </c>
      <c r="E1941" s="9" t="s">
        <v>28</v>
      </c>
      <c r="F1941" s="17">
        <f>F1943+F1944+F1945+F1946</f>
        <v>0</v>
      </c>
      <c r="G1941" s="9" t="s">
        <v>28</v>
      </c>
      <c r="H1941" s="17">
        <f>H1943+H1944+H1945+H1946</f>
        <v>0</v>
      </c>
      <c r="I1941" s="27" t="s">
        <v>248</v>
      </c>
      <c r="J1941" s="28"/>
      <c r="K1941" s="27" t="s">
        <v>214</v>
      </c>
    </row>
    <row r="1942" spans="1:11" s="4" customFormat="1" x14ac:dyDescent="0.25">
      <c r="A1942" s="40"/>
      <c r="B1942" s="43"/>
      <c r="C1942" s="9" t="s">
        <v>21</v>
      </c>
      <c r="D1942" s="17"/>
      <c r="E1942" s="9" t="s">
        <v>21</v>
      </c>
      <c r="F1942" s="17"/>
      <c r="G1942" s="9" t="s">
        <v>21</v>
      </c>
      <c r="H1942" s="17"/>
      <c r="I1942" s="28"/>
      <c r="J1942" s="28"/>
      <c r="K1942" s="28"/>
    </row>
    <row r="1943" spans="1:11" s="4" customFormat="1" x14ac:dyDescent="0.25">
      <c r="A1943" s="40"/>
      <c r="B1943" s="43"/>
      <c r="C1943" s="12" t="s">
        <v>22</v>
      </c>
      <c r="D1943" s="17">
        <v>0</v>
      </c>
      <c r="E1943" s="12" t="s">
        <v>22</v>
      </c>
      <c r="F1943" s="17">
        <v>0</v>
      </c>
      <c r="G1943" s="12" t="s">
        <v>22</v>
      </c>
      <c r="H1943" s="17">
        <v>0</v>
      </c>
      <c r="I1943" s="28"/>
      <c r="J1943" s="28"/>
      <c r="K1943" s="28"/>
    </row>
    <row r="1944" spans="1:11" s="4" customFormat="1" x14ac:dyDescent="0.25">
      <c r="A1944" s="40"/>
      <c r="B1944" s="43"/>
      <c r="C1944" s="12" t="s">
        <v>23</v>
      </c>
      <c r="D1944" s="17">
        <v>0</v>
      </c>
      <c r="E1944" s="12" t="s">
        <v>23</v>
      </c>
      <c r="F1944" s="17">
        <v>0</v>
      </c>
      <c r="G1944" s="12" t="s">
        <v>23</v>
      </c>
      <c r="H1944" s="17">
        <v>0</v>
      </c>
      <c r="I1944" s="28"/>
      <c r="J1944" s="28"/>
      <c r="K1944" s="28"/>
    </row>
    <row r="1945" spans="1:11" s="4" customFormat="1" x14ac:dyDescent="0.25">
      <c r="A1945" s="40"/>
      <c r="B1945" s="43"/>
      <c r="C1945" s="12" t="s">
        <v>24</v>
      </c>
      <c r="D1945" s="17">
        <f>352920.13/1000</f>
        <v>352.92013000000003</v>
      </c>
      <c r="E1945" s="12" t="s">
        <v>24</v>
      </c>
      <c r="F1945" s="17">
        <v>0</v>
      </c>
      <c r="G1945" s="12" t="s">
        <v>24</v>
      </c>
      <c r="H1945" s="17">
        <v>0</v>
      </c>
      <c r="I1945" s="28"/>
      <c r="J1945" s="28"/>
      <c r="K1945" s="28"/>
    </row>
    <row r="1946" spans="1:11" s="4" customFormat="1" x14ac:dyDescent="0.25">
      <c r="A1946" s="41"/>
      <c r="B1946" s="44"/>
      <c r="C1946" s="12" t="s">
        <v>25</v>
      </c>
      <c r="D1946" s="17">
        <v>0</v>
      </c>
      <c r="E1946" s="12" t="s">
        <v>25</v>
      </c>
      <c r="F1946" s="17">
        <v>0</v>
      </c>
      <c r="G1946" s="12" t="s">
        <v>25</v>
      </c>
      <c r="H1946" s="17">
        <v>0</v>
      </c>
      <c r="I1946" s="29"/>
      <c r="J1946" s="28"/>
      <c r="K1946" s="29"/>
    </row>
    <row r="1947" spans="1:11" s="4" customFormat="1" x14ac:dyDescent="0.25">
      <c r="A1947" s="39" t="s">
        <v>636</v>
      </c>
      <c r="B1947" s="42" t="s">
        <v>637</v>
      </c>
      <c r="C1947" s="9" t="s">
        <v>28</v>
      </c>
      <c r="D1947" s="17">
        <f>D1949+D1950+D1951+D1952</f>
        <v>30</v>
      </c>
      <c r="E1947" s="9" t="s">
        <v>28</v>
      </c>
      <c r="F1947" s="17">
        <f>F1949+F1950+F1951+F1952</f>
        <v>0</v>
      </c>
      <c r="G1947" s="9" t="s">
        <v>28</v>
      </c>
      <c r="H1947" s="17">
        <f>H1949+H1950+H1951+H1952</f>
        <v>0</v>
      </c>
      <c r="I1947" s="27" t="s">
        <v>248</v>
      </c>
      <c r="J1947" s="28"/>
      <c r="K1947" s="27" t="s">
        <v>214</v>
      </c>
    </row>
    <row r="1948" spans="1:11" s="4" customFormat="1" x14ac:dyDescent="0.25">
      <c r="A1948" s="40"/>
      <c r="B1948" s="43"/>
      <c r="C1948" s="9" t="s">
        <v>21</v>
      </c>
      <c r="D1948" s="17"/>
      <c r="E1948" s="9" t="s">
        <v>21</v>
      </c>
      <c r="F1948" s="17"/>
      <c r="G1948" s="9" t="s">
        <v>21</v>
      </c>
      <c r="H1948" s="17"/>
      <c r="I1948" s="28"/>
      <c r="J1948" s="28"/>
      <c r="K1948" s="28"/>
    </row>
    <row r="1949" spans="1:11" s="4" customFormat="1" x14ac:dyDescent="0.25">
      <c r="A1949" s="40"/>
      <c r="B1949" s="43"/>
      <c r="C1949" s="12" t="s">
        <v>22</v>
      </c>
      <c r="D1949" s="17">
        <v>0</v>
      </c>
      <c r="E1949" s="12" t="s">
        <v>22</v>
      </c>
      <c r="F1949" s="17">
        <v>0</v>
      </c>
      <c r="G1949" s="12" t="s">
        <v>22</v>
      </c>
      <c r="H1949" s="17">
        <v>0</v>
      </c>
      <c r="I1949" s="28"/>
      <c r="J1949" s="28"/>
      <c r="K1949" s="28"/>
    </row>
    <row r="1950" spans="1:11" s="4" customFormat="1" x14ac:dyDescent="0.25">
      <c r="A1950" s="40"/>
      <c r="B1950" s="43"/>
      <c r="C1950" s="12" t="s">
        <v>23</v>
      </c>
      <c r="D1950" s="17">
        <v>0</v>
      </c>
      <c r="E1950" s="12" t="s">
        <v>23</v>
      </c>
      <c r="F1950" s="17">
        <v>0</v>
      </c>
      <c r="G1950" s="12" t="s">
        <v>23</v>
      </c>
      <c r="H1950" s="17">
        <v>0</v>
      </c>
      <c r="I1950" s="28"/>
      <c r="J1950" s="28"/>
      <c r="K1950" s="28"/>
    </row>
    <row r="1951" spans="1:11" s="4" customFormat="1" x14ac:dyDescent="0.25">
      <c r="A1951" s="40"/>
      <c r="B1951" s="43"/>
      <c r="C1951" s="12" t="s">
        <v>24</v>
      </c>
      <c r="D1951" s="17">
        <f>30000/1000</f>
        <v>30</v>
      </c>
      <c r="E1951" s="12" t="s">
        <v>24</v>
      </c>
      <c r="F1951" s="17">
        <v>0</v>
      </c>
      <c r="G1951" s="12" t="s">
        <v>24</v>
      </c>
      <c r="H1951" s="17">
        <v>0</v>
      </c>
      <c r="I1951" s="28"/>
      <c r="J1951" s="28"/>
      <c r="K1951" s="28"/>
    </row>
    <row r="1952" spans="1:11" s="4" customFormat="1" x14ac:dyDescent="0.25">
      <c r="A1952" s="41"/>
      <c r="B1952" s="44"/>
      <c r="C1952" s="12" t="s">
        <v>25</v>
      </c>
      <c r="D1952" s="17">
        <v>0</v>
      </c>
      <c r="E1952" s="12" t="s">
        <v>25</v>
      </c>
      <c r="F1952" s="17">
        <v>0</v>
      </c>
      <c r="G1952" s="12" t="s">
        <v>25</v>
      </c>
      <c r="H1952" s="17">
        <v>0</v>
      </c>
      <c r="I1952" s="29"/>
      <c r="J1952" s="28"/>
      <c r="K1952" s="29"/>
    </row>
    <row r="1953" spans="1:11" s="4" customFormat="1" x14ac:dyDescent="0.25">
      <c r="A1953" s="39" t="s">
        <v>638</v>
      </c>
      <c r="B1953" s="42" t="s">
        <v>639</v>
      </c>
      <c r="C1953" s="9" t="s">
        <v>28</v>
      </c>
      <c r="D1953" s="17">
        <f>D1955+D1956+D1957+D1958</f>
        <v>20</v>
      </c>
      <c r="E1953" s="9" t="s">
        <v>28</v>
      </c>
      <c r="F1953" s="17">
        <f>F1955+F1956+F1957+F1958</f>
        <v>0</v>
      </c>
      <c r="G1953" s="9" t="s">
        <v>28</v>
      </c>
      <c r="H1953" s="17">
        <f>H1955+H1956+H1957+H1958</f>
        <v>0</v>
      </c>
      <c r="I1953" s="27" t="s">
        <v>248</v>
      </c>
      <c r="J1953" s="28"/>
      <c r="K1953" s="27" t="s">
        <v>214</v>
      </c>
    </row>
    <row r="1954" spans="1:11" s="4" customFormat="1" x14ac:dyDescent="0.25">
      <c r="A1954" s="40"/>
      <c r="B1954" s="43"/>
      <c r="C1954" s="9" t="s">
        <v>21</v>
      </c>
      <c r="D1954" s="17"/>
      <c r="E1954" s="9" t="s">
        <v>21</v>
      </c>
      <c r="F1954" s="17"/>
      <c r="G1954" s="9" t="s">
        <v>21</v>
      </c>
      <c r="H1954" s="17"/>
      <c r="I1954" s="28"/>
      <c r="J1954" s="28"/>
      <c r="K1954" s="28"/>
    </row>
    <row r="1955" spans="1:11" s="4" customFormat="1" x14ac:dyDescent="0.25">
      <c r="A1955" s="40"/>
      <c r="B1955" s="43"/>
      <c r="C1955" s="12" t="s">
        <v>22</v>
      </c>
      <c r="D1955" s="17">
        <v>0</v>
      </c>
      <c r="E1955" s="12" t="s">
        <v>22</v>
      </c>
      <c r="F1955" s="17">
        <v>0</v>
      </c>
      <c r="G1955" s="12" t="s">
        <v>22</v>
      </c>
      <c r="H1955" s="17">
        <v>0</v>
      </c>
      <c r="I1955" s="28"/>
      <c r="J1955" s="28"/>
      <c r="K1955" s="28"/>
    </row>
    <row r="1956" spans="1:11" s="4" customFormat="1" x14ac:dyDescent="0.25">
      <c r="A1956" s="40"/>
      <c r="B1956" s="43"/>
      <c r="C1956" s="12" t="s">
        <v>23</v>
      </c>
      <c r="D1956" s="17">
        <v>0</v>
      </c>
      <c r="E1956" s="12" t="s">
        <v>23</v>
      </c>
      <c r="F1956" s="17">
        <v>0</v>
      </c>
      <c r="G1956" s="12" t="s">
        <v>23</v>
      </c>
      <c r="H1956" s="17">
        <v>0</v>
      </c>
      <c r="I1956" s="28"/>
      <c r="J1956" s="28"/>
      <c r="K1956" s="28"/>
    </row>
    <row r="1957" spans="1:11" s="4" customFormat="1" x14ac:dyDescent="0.25">
      <c r="A1957" s="40"/>
      <c r="B1957" s="43"/>
      <c r="C1957" s="12" t="s">
        <v>24</v>
      </c>
      <c r="D1957" s="17">
        <f>20000/1000</f>
        <v>20</v>
      </c>
      <c r="E1957" s="12" t="s">
        <v>24</v>
      </c>
      <c r="F1957" s="17">
        <v>0</v>
      </c>
      <c r="G1957" s="12" t="s">
        <v>24</v>
      </c>
      <c r="H1957" s="17">
        <v>0</v>
      </c>
      <c r="I1957" s="28"/>
      <c r="J1957" s="28"/>
      <c r="K1957" s="28"/>
    </row>
    <row r="1958" spans="1:11" s="4" customFormat="1" x14ac:dyDescent="0.25">
      <c r="A1958" s="41"/>
      <c r="B1958" s="44"/>
      <c r="C1958" s="12" t="s">
        <v>25</v>
      </c>
      <c r="D1958" s="17">
        <v>0</v>
      </c>
      <c r="E1958" s="12" t="s">
        <v>25</v>
      </c>
      <c r="F1958" s="17">
        <v>0</v>
      </c>
      <c r="G1958" s="12" t="s">
        <v>25</v>
      </c>
      <c r="H1958" s="17">
        <v>0</v>
      </c>
      <c r="I1958" s="29"/>
      <c r="J1958" s="28"/>
      <c r="K1958" s="29"/>
    </row>
    <row r="1959" spans="1:11" s="4" customFormat="1" x14ac:dyDescent="0.25">
      <c r="A1959" s="39" t="s">
        <v>640</v>
      </c>
      <c r="B1959" s="42" t="s">
        <v>641</v>
      </c>
      <c r="C1959" s="9" t="s">
        <v>28</v>
      </c>
      <c r="D1959" s="17">
        <f>D1961+D1962+D1963+D1964</f>
        <v>20</v>
      </c>
      <c r="E1959" s="9" t="s">
        <v>28</v>
      </c>
      <c r="F1959" s="17">
        <f>F1961+F1962+F1963+F1964</f>
        <v>0</v>
      </c>
      <c r="G1959" s="9" t="s">
        <v>28</v>
      </c>
      <c r="H1959" s="17">
        <f>H1961+H1962+H1963+H1964</f>
        <v>0</v>
      </c>
      <c r="I1959" s="27" t="s">
        <v>248</v>
      </c>
      <c r="J1959" s="28"/>
      <c r="K1959" s="27" t="s">
        <v>214</v>
      </c>
    </row>
    <row r="1960" spans="1:11" s="4" customFormat="1" x14ac:dyDescent="0.25">
      <c r="A1960" s="40"/>
      <c r="B1960" s="43"/>
      <c r="C1960" s="9" t="s">
        <v>21</v>
      </c>
      <c r="D1960" s="17"/>
      <c r="E1960" s="9" t="s">
        <v>21</v>
      </c>
      <c r="F1960" s="17"/>
      <c r="G1960" s="9" t="s">
        <v>21</v>
      </c>
      <c r="H1960" s="17"/>
      <c r="I1960" s="28"/>
      <c r="J1960" s="28"/>
      <c r="K1960" s="28"/>
    </row>
    <row r="1961" spans="1:11" s="4" customFormat="1" x14ac:dyDescent="0.25">
      <c r="A1961" s="40"/>
      <c r="B1961" s="43"/>
      <c r="C1961" s="12" t="s">
        <v>22</v>
      </c>
      <c r="D1961" s="17">
        <v>0</v>
      </c>
      <c r="E1961" s="12" t="s">
        <v>22</v>
      </c>
      <c r="F1961" s="17">
        <v>0</v>
      </c>
      <c r="G1961" s="12" t="s">
        <v>22</v>
      </c>
      <c r="H1961" s="17">
        <v>0</v>
      </c>
      <c r="I1961" s="28"/>
      <c r="J1961" s="28"/>
      <c r="K1961" s="28"/>
    </row>
    <row r="1962" spans="1:11" s="4" customFormat="1" x14ac:dyDescent="0.25">
      <c r="A1962" s="40"/>
      <c r="B1962" s="43"/>
      <c r="C1962" s="12" t="s">
        <v>23</v>
      </c>
      <c r="D1962" s="17">
        <v>0</v>
      </c>
      <c r="E1962" s="12" t="s">
        <v>23</v>
      </c>
      <c r="F1962" s="17">
        <v>0</v>
      </c>
      <c r="G1962" s="12" t="s">
        <v>23</v>
      </c>
      <c r="H1962" s="17">
        <v>0</v>
      </c>
      <c r="I1962" s="28"/>
      <c r="J1962" s="28"/>
      <c r="K1962" s="28"/>
    </row>
    <row r="1963" spans="1:11" s="4" customFormat="1" x14ac:dyDescent="0.25">
      <c r="A1963" s="40"/>
      <c r="B1963" s="43"/>
      <c r="C1963" s="12" t="s">
        <v>24</v>
      </c>
      <c r="D1963" s="17">
        <f>20000/1000</f>
        <v>20</v>
      </c>
      <c r="E1963" s="12" t="s">
        <v>24</v>
      </c>
      <c r="F1963" s="17">
        <v>0</v>
      </c>
      <c r="G1963" s="12" t="s">
        <v>24</v>
      </c>
      <c r="H1963" s="17">
        <v>0</v>
      </c>
      <c r="I1963" s="28"/>
      <c r="J1963" s="28"/>
      <c r="K1963" s="28"/>
    </row>
    <row r="1964" spans="1:11" s="4" customFormat="1" x14ac:dyDescent="0.25">
      <c r="A1964" s="41"/>
      <c r="B1964" s="44"/>
      <c r="C1964" s="12" t="s">
        <v>25</v>
      </c>
      <c r="D1964" s="17">
        <v>0</v>
      </c>
      <c r="E1964" s="12" t="s">
        <v>25</v>
      </c>
      <c r="F1964" s="17">
        <v>0</v>
      </c>
      <c r="G1964" s="12" t="s">
        <v>25</v>
      </c>
      <c r="H1964" s="17">
        <v>0</v>
      </c>
      <c r="I1964" s="29"/>
      <c r="J1964" s="28"/>
      <c r="K1964" s="29"/>
    </row>
    <row r="1965" spans="1:11" s="4" customFormat="1" x14ac:dyDescent="0.25">
      <c r="A1965" s="39" t="s">
        <v>642</v>
      </c>
      <c r="B1965" s="42" t="s">
        <v>95</v>
      </c>
      <c r="C1965" s="9" t="s">
        <v>28</v>
      </c>
      <c r="D1965" s="17">
        <f>D1967+D1968+D1969+D1970</f>
        <v>83.307190000000006</v>
      </c>
      <c r="E1965" s="9" t="s">
        <v>28</v>
      </c>
      <c r="F1965" s="17">
        <f>F1967+F1968+F1969+F1970</f>
        <v>5774.47</v>
      </c>
      <c r="G1965" s="9" t="s">
        <v>28</v>
      </c>
      <c r="H1965" s="17">
        <f>H1967+H1968+H1969+H1970</f>
        <v>0</v>
      </c>
      <c r="I1965" s="27" t="s">
        <v>248</v>
      </c>
      <c r="J1965" s="28"/>
      <c r="K1965" s="27" t="s">
        <v>214</v>
      </c>
    </row>
    <row r="1966" spans="1:11" s="4" customFormat="1" x14ac:dyDescent="0.25">
      <c r="A1966" s="40"/>
      <c r="B1966" s="43"/>
      <c r="C1966" s="9" t="s">
        <v>21</v>
      </c>
      <c r="D1966" s="17"/>
      <c r="E1966" s="9" t="s">
        <v>21</v>
      </c>
      <c r="F1966" s="17"/>
      <c r="G1966" s="9" t="s">
        <v>21</v>
      </c>
      <c r="H1966" s="17"/>
      <c r="I1966" s="28"/>
      <c r="J1966" s="28"/>
      <c r="K1966" s="28"/>
    </row>
    <row r="1967" spans="1:11" s="4" customFormat="1" x14ac:dyDescent="0.25">
      <c r="A1967" s="40"/>
      <c r="B1967" s="43"/>
      <c r="C1967" s="12" t="s">
        <v>22</v>
      </c>
      <c r="D1967" s="17">
        <v>0</v>
      </c>
      <c r="E1967" s="12" t="s">
        <v>22</v>
      </c>
      <c r="F1967" s="17">
        <v>0</v>
      </c>
      <c r="G1967" s="12" t="s">
        <v>22</v>
      </c>
      <c r="H1967" s="17">
        <v>0</v>
      </c>
      <c r="I1967" s="28"/>
      <c r="J1967" s="28"/>
      <c r="K1967" s="28"/>
    </row>
    <row r="1968" spans="1:11" s="4" customFormat="1" x14ac:dyDescent="0.25">
      <c r="A1968" s="40"/>
      <c r="B1968" s="43"/>
      <c r="C1968" s="12" t="s">
        <v>23</v>
      </c>
      <c r="D1968" s="17">
        <v>0</v>
      </c>
      <c r="E1968" s="12" t="s">
        <v>23</v>
      </c>
      <c r="F1968" s="17">
        <v>0</v>
      </c>
      <c r="G1968" s="12" t="s">
        <v>23</v>
      </c>
      <c r="H1968" s="17">
        <v>0</v>
      </c>
      <c r="I1968" s="28"/>
      <c r="J1968" s="28"/>
      <c r="K1968" s="28"/>
    </row>
    <row r="1969" spans="1:11" s="4" customFormat="1" x14ac:dyDescent="0.25">
      <c r="A1969" s="40"/>
      <c r="B1969" s="43"/>
      <c r="C1969" s="12" t="s">
        <v>24</v>
      </c>
      <c r="D1969" s="17">
        <f>83307.19/1000</f>
        <v>83.307190000000006</v>
      </c>
      <c r="E1969" s="12" t="s">
        <v>24</v>
      </c>
      <c r="F1969" s="17">
        <v>5774.47</v>
      </c>
      <c r="G1969" s="12" t="s">
        <v>24</v>
      </c>
      <c r="H1969" s="17">
        <v>0</v>
      </c>
      <c r="I1969" s="28"/>
      <c r="J1969" s="28"/>
      <c r="K1969" s="28"/>
    </row>
    <row r="1970" spans="1:11" s="4" customFormat="1" x14ac:dyDescent="0.25">
      <c r="A1970" s="41"/>
      <c r="B1970" s="44"/>
      <c r="C1970" s="12" t="s">
        <v>25</v>
      </c>
      <c r="D1970" s="17">
        <v>0</v>
      </c>
      <c r="E1970" s="12" t="s">
        <v>25</v>
      </c>
      <c r="F1970" s="17">
        <v>0</v>
      </c>
      <c r="G1970" s="12" t="s">
        <v>25</v>
      </c>
      <c r="H1970" s="17">
        <v>0</v>
      </c>
      <c r="I1970" s="29"/>
      <c r="J1970" s="28"/>
      <c r="K1970" s="29"/>
    </row>
    <row r="1971" spans="1:11" s="4" customFormat="1" x14ac:dyDescent="0.25">
      <c r="A1971" s="48" t="s">
        <v>643</v>
      </c>
      <c r="B1971" s="51" t="s">
        <v>644</v>
      </c>
      <c r="C1971" s="9" t="s">
        <v>28</v>
      </c>
      <c r="D1971" s="10">
        <f>D1973+D1974+D1975+D1976</f>
        <v>63042.68</v>
      </c>
      <c r="E1971" s="9" t="s">
        <v>28</v>
      </c>
      <c r="F1971" s="10">
        <f>F1973+F1974+F1975+F1976</f>
        <v>77749.5</v>
      </c>
      <c r="G1971" s="9" t="s">
        <v>28</v>
      </c>
      <c r="H1971" s="10">
        <f>H1973+H1974+H1975+H1976</f>
        <v>88495.470000000016</v>
      </c>
      <c r="I1971" s="27" t="s">
        <v>18</v>
      </c>
      <c r="J1971" s="28"/>
      <c r="K1971" s="27" t="s">
        <v>214</v>
      </c>
    </row>
    <row r="1972" spans="1:11" s="4" customFormat="1" x14ac:dyDescent="0.25">
      <c r="A1972" s="49"/>
      <c r="B1972" s="52"/>
      <c r="C1972" s="9" t="s">
        <v>21</v>
      </c>
      <c r="D1972" s="10"/>
      <c r="E1972" s="9" t="s">
        <v>21</v>
      </c>
      <c r="F1972" s="10"/>
      <c r="G1972" s="9" t="s">
        <v>21</v>
      </c>
      <c r="H1972" s="10"/>
      <c r="I1972" s="28"/>
      <c r="J1972" s="28"/>
      <c r="K1972" s="28"/>
    </row>
    <row r="1973" spans="1:11" s="4" customFormat="1" x14ac:dyDescent="0.25">
      <c r="A1973" s="49"/>
      <c r="B1973" s="52"/>
      <c r="C1973" s="12" t="s">
        <v>22</v>
      </c>
      <c r="D1973" s="10">
        <f>D1979+D1985+D1991+D1997+D2003</f>
        <v>0</v>
      </c>
      <c r="E1973" s="12" t="s">
        <v>22</v>
      </c>
      <c r="F1973" s="10">
        <f>F1979+F1985+F1991+F1997+F2003</f>
        <v>0</v>
      </c>
      <c r="G1973" s="12" t="s">
        <v>22</v>
      </c>
      <c r="H1973" s="10">
        <f>H1979+H1985+H1991+H1997+H2003</f>
        <v>0</v>
      </c>
      <c r="I1973" s="28"/>
      <c r="J1973" s="28"/>
      <c r="K1973" s="28"/>
    </row>
    <row r="1974" spans="1:11" s="4" customFormat="1" x14ac:dyDescent="0.25">
      <c r="A1974" s="49"/>
      <c r="B1974" s="52"/>
      <c r="C1974" s="12" t="s">
        <v>23</v>
      </c>
      <c r="D1974" s="10">
        <f t="shared" ref="D1974:F1976" si="105">D1980+D1986+D1992+D1998+D2004</f>
        <v>4169.9000000000005</v>
      </c>
      <c r="E1974" s="12" t="s">
        <v>23</v>
      </c>
      <c r="F1974" s="10">
        <f t="shared" si="105"/>
        <v>194.6</v>
      </c>
      <c r="G1974" s="12" t="s">
        <v>23</v>
      </c>
      <c r="H1974" s="10">
        <f t="shared" ref="H1974:H1976" si="106">H1980+H1986+H1992+H1998+H2004</f>
        <v>194.6</v>
      </c>
      <c r="I1974" s="28"/>
      <c r="J1974" s="28"/>
      <c r="K1974" s="28"/>
    </row>
    <row r="1975" spans="1:11" s="4" customFormat="1" x14ac:dyDescent="0.25">
      <c r="A1975" s="49"/>
      <c r="B1975" s="52"/>
      <c r="C1975" s="12" t="s">
        <v>24</v>
      </c>
      <c r="D1975" s="10">
        <f t="shared" si="105"/>
        <v>58872.78</v>
      </c>
      <c r="E1975" s="12" t="s">
        <v>24</v>
      </c>
      <c r="F1975" s="10">
        <f t="shared" si="105"/>
        <v>77554.899999999994</v>
      </c>
      <c r="G1975" s="12" t="s">
        <v>24</v>
      </c>
      <c r="H1975" s="10">
        <f t="shared" si="106"/>
        <v>88300.87000000001</v>
      </c>
      <c r="I1975" s="28"/>
      <c r="J1975" s="28"/>
      <c r="K1975" s="28"/>
    </row>
    <row r="1976" spans="1:11" s="4" customFormat="1" x14ac:dyDescent="0.25">
      <c r="A1976" s="50"/>
      <c r="B1976" s="53"/>
      <c r="C1976" s="12" t="s">
        <v>25</v>
      </c>
      <c r="D1976" s="10">
        <f t="shared" si="105"/>
        <v>0</v>
      </c>
      <c r="E1976" s="12" t="s">
        <v>25</v>
      </c>
      <c r="F1976" s="10">
        <f t="shared" si="105"/>
        <v>0</v>
      </c>
      <c r="G1976" s="12" t="s">
        <v>25</v>
      </c>
      <c r="H1976" s="10">
        <f t="shared" si="106"/>
        <v>0</v>
      </c>
      <c r="I1976" s="29"/>
      <c r="J1976" s="28"/>
      <c r="K1976" s="29"/>
    </row>
    <row r="1977" spans="1:11" s="4" customFormat="1" x14ac:dyDescent="0.25">
      <c r="A1977" s="39" t="s">
        <v>645</v>
      </c>
      <c r="B1977" s="42" t="s">
        <v>646</v>
      </c>
      <c r="C1977" s="9" t="s">
        <v>28</v>
      </c>
      <c r="D1977" s="17">
        <f>D1979+D1980+D1981+D1982</f>
        <v>61774.76</v>
      </c>
      <c r="E1977" s="9" t="s">
        <v>28</v>
      </c>
      <c r="F1977" s="17">
        <f>F1979+F1980+F1981+F1982</f>
        <v>0</v>
      </c>
      <c r="G1977" s="9" t="s">
        <v>28</v>
      </c>
      <c r="H1977" s="17">
        <f>H1979+H1980+H1981+H1982</f>
        <v>0</v>
      </c>
      <c r="I1977" s="27" t="s">
        <v>18</v>
      </c>
      <c r="J1977" s="28"/>
      <c r="K1977" s="27" t="s">
        <v>214</v>
      </c>
    </row>
    <row r="1978" spans="1:11" s="4" customFormat="1" x14ac:dyDescent="0.25">
      <c r="A1978" s="40"/>
      <c r="B1978" s="43"/>
      <c r="C1978" s="9" t="s">
        <v>21</v>
      </c>
      <c r="D1978" s="17"/>
      <c r="E1978" s="9" t="s">
        <v>21</v>
      </c>
      <c r="F1978" s="17"/>
      <c r="G1978" s="9" t="s">
        <v>21</v>
      </c>
      <c r="H1978" s="17"/>
      <c r="I1978" s="28"/>
      <c r="J1978" s="28"/>
      <c r="K1978" s="28"/>
    </row>
    <row r="1979" spans="1:11" s="4" customFormat="1" x14ac:dyDescent="0.25">
      <c r="A1979" s="40"/>
      <c r="B1979" s="43"/>
      <c r="C1979" s="12" t="s">
        <v>22</v>
      </c>
      <c r="D1979" s="17">
        <v>0</v>
      </c>
      <c r="E1979" s="12" t="s">
        <v>22</v>
      </c>
      <c r="F1979" s="17">
        <v>0</v>
      </c>
      <c r="G1979" s="12" t="s">
        <v>22</v>
      </c>
      <c r="H1979" s="17">
        <v>0</v>
      </c>
      <c r="I1979" s="28"/>
      <c r="J1979" s="28"/>
      <c r="K1979" s="28"/>
    </row>
    <row r="1980" spans="1:11" s="4" customFormat="1" x14ac:dyDescent="0.25">
      <c r="A1980" s="40"/>
      <c r="B1980" s="43"/>
      <c r="C1980" s="12" t="s">
        <v>23</v>
      </c>
      <c r="D1980" s="17">
        <v>3975.3</v>
      </c>
      <c r="E1980" s="12" t="s">
        <v>23</v>
      </c>
      <c r="F1980" s="17">
        <v>0</v>
      </c>
      <c r="G1980" s="12" t="s">
        <v>23</v>
      </c>
      <c r="H1980" s="17">
        <v>0</v>
      </c>
      <c r="I1980" s="28"/>
      <c r="J1980" s="28"/>
      <c r="K1980" s="28"/>
    </row>
    <row r="1981" spans="1:11" s="4" customFormat="1" x14ac:dyDescent="0.25">
      <c r="A1981" s="40"/>
      <c r="B1981" s="43"/>
      <c r="C1981" s="12" t="s">
        <v>24</v>
      </c>
      <c r="D1981" s="17">
        <f>52822.07+4977.39</f>
        <v>57799.46</v>
      </c>
      <c r="E1981" s="12" t="s">
        <v>24</v>
      </c>
      <c r="F1981" s="17">
        <v>0</v>
      </c>
      <c r="G1981" s="12" t="s">
        <v>24</v>
      </c>
      <c r="H1981" s="17">
        <v>0</v>
      </c>
      <c r="I1981" s="28"/>
      <c r="J1981" s="28"/>
      <c r="K1981" s="28"/>
    </row>
    <row r="1982" spans="1:11" s="4" customFormat="1" x14ac:dyDescent="0.25">
      <c r="A1982" s="41"/>
      <c r="B1982" s="44"/>
      <c r="C1982" s="12" t="s">
        <v>25</v>
      </c>
      <c r="D1982" s="17">
        <v>0</v>
      </c>
      <c r="E1982" s="12" t="s">
        <v>25</v>
      </c>
      <c r="F1982" s="17">
        <v>0</v>
      </c>
      <c r="G1982" s="12" t="s">
        <v>25</v>
      </c>
      <c r="H1982" s="17">
        <v>0</v>
      </c>
      <c r="I1982" s="29"/>
      <c r="J1982" s="28"/>
      <c r="K1982" s="29"/>
    </row>
    <row r="1983" spans="1:11" s="4" customFormat="1" x14ac:dyDescent="0.25">
      <c r="A1983" s="39" t="s">
        <v>647</v>
      </c>
      <c r="B1983" s="42" t="s">
        <v>648</v>
      </c>
      <c r="C1983" s="9" t="s">
        <v>28</v>
      </c>
      <c r="D1983" s="17">
        <f>D1985+D1986+D1987+D1988</f>
        <v>0</v>
      </c>
      <c r="E1983" s="9" t="s">
        <v>28</v>
      </c>
      <c r="F1983" s="17">
        <f>F1985+F1986+F1987+F1988</f>
        <v>76587.899999999994</v>
      </c>
      <c r="G1983" s="9" t="s">
        <v>28</v>
      </c>
      <c r="H1983" s="17">
        <f>H1985+H1986+H1987+H1988</f>
        <v>87095.510000000009</v>
      </c>
      <c r="I1983" s="27" t="s">
        <v>18</v>
      </c>
      <c r="J1983" s="28"/>
      <c r="K1983" s="27" t="s">
        <v>214</v>
      </c>
    </row>
    <row r="1984" spans="1:11" s="4" customFormat="1" x14ac:dyDescent="0.25">
      <c r="A1984" s="40"/>
      <c r="B1984" s="43"/>
      <c r="C1984" s="9" t="s">
        <v>21</v>
      </c>
      <c r="D1984" s="17"/>
      <c r="E1984" s="9" t="s">
        <v>21</v>
      </c>
      <c r="F1984" s="17"/>
      <c r="G1984" s="9" t="s">
        <v>21</v>
      </c>
      <c r="H1984" s="17"/>
      <c r="I1984" s="28"/>
      <c r="J1984" s="28"/>
      <c r="K1984" s="28"/>
    </row>
    <row r="1985" spans="1:11" s="4" customFormat="1" x14ac:dyDescent="0.25">
      <c r="A1985" s="40"/>
      <c r="B1985" s="43"/>
      <c r="C1985" s="12" t="s">
        <v>22</v>
      </c>
      <c r="D1985" s="17">
        <v>0</v>
      </c>
      <c r="E1985" s="12" t="s">
        <v>22</v>
      </c>
      <c r="F1985" s="17">
        <v>0</v>
      </c>
      <c r="G1985" s="12" t="s">
        <v>22</v>
      </c>
      <c r="H1985" s="17">
        <v>0</v>
      </c>
      <c r="I1985" s="28"/>
      <c r="J1985" s="28"/>
      <c r="K1985" s="28"/>
    </row>
    <row r="1986" spans="1:11" s="4" customFormat="1" x14ac:dyDescent="0.25">
      <c r="A1986" s="40"/>
      <c r="B1986" s="43"/>
      <c r="C1986" s="12" t="s">
        <v>23</v>
      </c>
      <c r="D1986" s="17">
        <v>0</v>
      </c>
      <c r="E1986" s="12" t="s">
        <v>23</v>
      </c>
      <c r="F1986" s="17">
        <v>0</v>
      </c>
      <c r="G1986" s="12" t="s">
        <v>23</v>
      </c>
      <c r="H1986" s="17">
        <v>0</v>
      </c>
      <c r="I1986" s="28"/>
      <c r="J1986" s="28"/>
      <c r="K1986" s="28"/>
    </row>
    <row r="1987" spans="1:11" s="4" customFormat="1" x14ac:dyDescent="0.25">
      <c r="A1987" s="40"/>
      <c r="B1987" s="43"/>
      <c r="C1987" s="12" t="s">
        <v>24</v>
      </c>
      <c r="D1987" s="17">
        <v>0</v>
      </c>
      <c r="E1987" s="12" t="s">
        <v>24</v>
      </c>
      <c r="F1987" s="17">
        <f>40797.9+35790</f>
        <v>76587.899999999994</v>
      </c>
      <c r="G1987" s="12" t="s">
        <v>24</v>
      </c>
      <c r="H1987" s="17">
        <f>51305.51+35790</f>
        <v>87095.510000000009</v>
      </c>
      <c r="I1987" s="28"/>
      <c r="J1987" s="28"/>
      <c r="K1987" s="28"/>
    </row>
    <row r="1988" spans="1:11" s="4" customFormat="1" x14ac:dyDescent="0.25">
      <c r="A1988" s="41"/>
      <c r="B1988" s="44"/>
      <c r="C1988" s="12" t="s">
        <v>25</v>
      </c>
      <c r="D1988" s="17">
        <v>0</v>
      </c>
      <c r="E1988" s="12" t="s">
        <v>25</v>
      </c>
      <c r="F1988" s="17">
        <v>0</v>
      </c>
      <c r="G1988" s="12" t="s">
        <v>25</v>
      </c>
      <c r="H1988" s="17">
        <v>0</v>
      </c>
      <c r="I1988" s="29"/>
      <c r="J1988" s="28"/>
      <c r="K1988" s="29"/>
    </row>
    <row r="1989" spans="1:11" s="4" customFormat="1" x14ac:dyDescent="0.25">
      <c r="A1989" s="39" t="s">
        <v>649</v>
      </c>
      <c r="B1989" s="42" t="s">
        <v>650</v>
      </c>
      <c r="C1989" s="9" t="s">
        <v>28</v>
      </c>
      <c r="D1989" s="17">
        <f>D1991+D1992+D1993+D1994</f>
        <v>411.6</v>
      </c>
      <c r="E1989" s="9" t="s">
        <v>28</v>
      </c>
      <c r="F1989" s="17">
        <f>F1991+F1992+F1993+F1994</f>
        <v>0</v>
      </c>
      <c r="G1989" s="9" t="s">
        <v>28</v>
      </c>
      <c r="H1989" s="17">
        <f>H1991+H1992+H1993+H1994</f>
        <v>0</v>
      </c>
      <c r="I1989" s="27" t="s">
        <v>18</v>
      </c>
      <c r="J1989" s="28"/>
      <c r="K1989" s="27" t="s">
        <v>214</v>
      </c>
    </row>
    <row r="1990" spans="1:11" s="4" customFormat="1" x14ac:dyDescent="0.25">
      <c r="A1990" s="40"/>
      <c r="B1990" s="43"/>
      <c r="C1990" s="9" t="s">
        <v>21</v>
      </c>
      <c r="D1990" s="17"/>
      <c r="E1990" s="9" t="s">
        <v>21</v>
      </c>
      <c r="F1990" s="17"/>
      <c r="G1990" s="9" t="s">
        <v>21</v>
      </c>
      <c r="H1990" s="17"/>
      <c r="I1990" s="28"/>
      <c r="J1990" s="28"/>
      <c r="K1990" s="28"/>
    </row>
    <row r="1991" spans="1:11" s="4" customFormat="1" x14ac:dyDescent="0.25">
      <c r="A1991" s="40"/>
      <c r="B1991" s="43"/>
      <c r="C1991" s="12" t="s">
        <v>22</v>
      </c>
      <c r="D1991" s="17">
        <v>0</v>
      </c>
      <c r="E1991" s="12" t="s">
        <v>22</v>
      </c>
      <c r="F1991" s="17">
        <v>0</v>
      </c>
      <c r="G1991" s="12" t="s">
        <v>22</v>
      </c>
      <c r="H1991" s="17">
        <v>0</v>
      </c>
      <c r="I1991" s="28"/>
      <c r="J1991" s="28"/>
      <c r="K1991" s="28"/>
    </row>
    <row r="1992" spans="1:11" s="4" customFormat="1" x14ac:dyDescent="0.25">
      <c r="A1992" s="40"/>
      <c r="B1992" s="43"/>
      <c r="C1992" s="12" t="s">
        <v>23</v>
      </c>
      <c r="D1992" s="17">
        <v>194.6</v>
      </c>
      <c r="E1992" s="12" t="s">
        <v>23</v>
      </c>
      <c r="F1992" s="17">
        <v>0</v>
      </c>
      <c r="G1992" s="12" t="s">
        <v>23</v>
      </c>
      <c r="H1992" s="17">
        <v>0</v>
      </c>
      <c r="I1992" s="28"/>
      <c r="J1992" s="28"/>
      <c r="K1992" s="28"/>
    </row>
    <row r="1993" spans="1:11" s="4" customFormat="1" x14ac:dyDescent="0.25">
      <c r="A1993" s="40"/>
      <c r="B1993" s="43"/>
      <c r="C1993" s="12" t="s">
        <v>24</v>
      </c>
      <c r="D1993" s="17">
        <v>217</v>
      </c>
      <c r="E1993" s="12" t="s">
        <v>24</v>
      </c>
      <c r="F1993" s="17">
        <v>0</v>
      </c>
      <c r="G1993" s="12" t="s">
        <v>24</v>
      </c>
      <c r="H1993" s="17">
        <v>0</v>
      </c>
      <c r="I1993" s="28"/>
      <c r="J1993" s="28"/>
      <c r="K1993" s="28"/>
    </row>
    <row r="1994" spans="1:11" s="4" customFormat="1" x14ac:dyDescent="0.25">
      <c r="A1994" s="41"/>
      <c r="B1994" s="44"/>
      <c r="C1994" s="12" t="s">
        <v>25</v>
      </c>
      <c r="D1994" s="17">
        <v>0</v>
      </c>
      <c r="E1994" s="12" t="s">
        <v>25</v>
      </c>
      <c r="F1994" s="17">
        <v>0</v>
      </c>
      <c r="G1994" s="12" t="s">
        <v>25</v>
      </c>
      <c r="H1994" s="17">
        <v>0</v>
      </c>
      <c r="I1994" s="29"/>
      <c r="J1994" s="29"/>
      <c r="K1994" s="29"/>
    </row>
    <row r="1995" spans="1:11" s="4" customFormat="1" x14ac:dyDescent="0.25">
      <c r="A1995" s="39" t="s">
        <v>651</v>
      </c>
      <c r="B1995" s="42" t="s">
        <v>652</v>
      </c>
      <c r="C1995" s="9" t="s">
        <v>28</v>
      </c>
      <c r="D1995" s="17">
        <f>D1997+D1998+D1999+D2000</f>
        <v>0</v>
      </c>
      <c r="E1995" s="9" t="s">
        <v>28</v>
      </c>
      <c r="F1995" s="17">
        <f>F1997+F1998+F1999+F2000</f>
        <v>411.6</v>
      </c>
      <c r="G1995" s="9" t="s">
        <v>28</v>
      </c>
      <c r="H1995" s="17">
        <f>H1997+H1998+H1999+H2000</f>
        <v>432.47</v>
      </c>
      <c r="I1995" s="27" t="s">
        <v>18</v>
      </c>
      <c r="J1995" s="45" t="s">
        <v>653</v>
      </c>
      <c r="K1995" s="27" t="s">
        <v>214</v>
      </c>
    </row>
    <row r="1996" spans="1:11" s="4" customFormat="1" x14ac:dyDescent="0.25">
      <c r="A1996" s="40"/>
      <c r="B1996" s="43"/>
      <c r="C1996" s="9" t="s">
        <v>21</v>
      </c>
      <c r="D1996" s="17"/>
      <c r="E1996" s="9" t="s">
        <v>21</v>
      </c>
      <c r="F1996" s="17"/>
      <c r="G1996" s="9" t="s">
        <v>21</v>
      </c>
      <c r="H1996" s="17"/>
      <c r="I1996" s="28"/>
      <c r="J1996" s="46"/>
      <c r="K1996" s="28"/>
    </row>
    <row r="1997" spans="1:11" s="4" customFormat="1" x14ac:dyDescent="0.25">
      <c r="A1997" s="40"/>
      <c r="B1997" s="43"/>
      <c r="C1997" s="12" t="s">
        <v>22</v>
      </c>
      <c r="D1997" s="17">
        <v>0</v>
      </c>
      <c r="E1997" s="12" t="s">
        <v>22</v>
      </c>
      <c r="F1997" s="17">
        <v>0</v>
      </c>
      <c r="G1997" s="12" t="s">
        <v>22</v>
      </c>
      <c r="H1997" s="17">
        <v>0</v>
      </c>
      <c r="I1997" s="28"/>
      <c r="J1997" s="46"/>
      <c r="K1997" s="28"/>
    </row>
    <row r="1998" spans="1:11" s="4" customFormat="1" x14ac:dyDescent="0.25">
      <c r="A1998" s="40"/>
      <c r="B1998" s="43"/>
      <c r="C1998" s="12" t="s">
        <v>23</v>
      </c>
      <c r="D1998" s="17">
        <v>0</v>
      </c>
      <c r="E1998" s="12" t="s">
        <v>23</v>
      </c>
      <c r="F1998" s="17">
        <v>194.6</v>
      </c>
      <c r="G1998" s="12" t="s">
        <v>23</v>
      </c>
      <c r="H1998" s="17">
        <v>194.6</v>
      </c>
      <c r="I1998" s="28"/>
      <c r="J1998" s="46"/>
      <c r="K1998" s="28"/>
    </row>
    <row r="1999" spans="1:11" s="4" customFormat="1" x14ac:dyDescent="0.25">
      <c r="A1999" s="40"/>
      <c r="B1999" s="43"/>
      <c r="C1999" s="12" t="s">
        <v>24</v>
      </c>
      <c r="D1999" s="17">
        <v>0</v>
      </c>
      <c r="E1999" s="12" t="s">
        <v>24</v>
      </c>
      <c r="F1999" s="17">
        <v>217</v>
      </c>
      <c r="G1999" s="12" t="s">
        <v>24</v>
      </c>
      <c r="H1999" s="17">
        <v>237.87</v>
      </c>
      <c r="I1999" s="28"/>
      <c r="J1999" s="46"/>
      <c r="K1999" s="28"/>
    </row>
    <row r="2000" spans="1:11" s="4" customFormat="1" x14ac:dyDescent="0.25">
      <c r="A2000" s="41"/>
      <c r="B2000" s="44"/>
      <c r="C2000" s="12" t="s">
        <v>25</v>
      </c>
      <c r="D2000" s="17">
        <v>0</v>
      </c>
      <c r="E2000" s="12" t="s">
        <v>25</v>
      </c>
      <c r="F2000" s="17">
        <v>0</v>
      </c>
      <c r="G2000" s="12" t="s">
        <v>25</v>
      </c>
      <c r="H2000" s="17">
        <v>0</v>
      </c>
      <c r="I2000" s="29"/>
      <c r="J2000" s="47"/>
      <c r="K2000" s="29"/>
    </row>
    <row r="2001" spans="1:11" s="4" customFormat="1" x14ac:dyDescent="0.25">
      <c r="A2001" s="39" t="s">
        <v>654</v>
      </c>
      <c r="B2001" s="21" t="s">
        <v>655</v>
      </c>
      <c r="C2001" s="9" t="s">
        <v>28</v>
      </c>
      <c r="D2001" s="17">
        <f>D2003+D2004+D2005+D2006</f>
        <v>856.32</v>
      </c>
      <c r="E2001" s="9" t="s">
        <v>28</v>
      </c>
      <c r="F2001" s="17">
        <f>F2003+F2004+F2005+F2006</f>
        <v>750</v>
      </c>
      <c r="G2001" s="9" t="s">
        <v>28</v>
      </c>
      <c r="H2001" s="17">
        <f>H2003+H2004+H2005+H2006</f>
        <v>967.49</v>
      </c>
      <c r="I2001" s="27" t="s">
        <v>18</v>
      </c>
      <c r="J2001" s="27" t="s">
        <v>653</v>
      </c>
      <c r="K2001" s="22" t="s">
        <v>214</v>
      </c>
    </row>
    <row r="2002" spans="1:11" s="4" customFormat="1" x14ac:dyDescent="0.25">
      <c r="A2002" s="40"/>
      <c r="B2002" s="21"/>
      <c r="C2002" s="9" t="s">
        <v>21</v>
      </c>
      <c r="D2002" s="17"/>
      <c r="E2002" s="9" t="s">
        <v>21</v>
      </c>
      <c r="F2002" s="17"/>
      <c r="G2002" s="9" t="s">
        <v>21</v>
      </c>
      <c r="H2002" s="17"/>
      <c r="I2002" s="28"/>
      <c r="J2002" s="28"/>
      <c r="K2002" s="22"/>
    </row>
    <row r="2003" spans="1:11" s="4" customFormat="1" x14ac:dyDescent="0.25">
      <c r="A2003" s="40"/>
      <c r="B2003" s="21"/>
      <c r="C2003" s="12" t="s">
        <v>22</v>
      </c>
      <c r="D2003" s="17">
        <v>0</v>
      </c>
      <c r="E2003" s="12" t="s">
        <v>22</v>
      </c>
      <c r="F2003" s="17">
        <v>0</v>
      </c>
      <c r="G2003" s="12" t="s">
        <v>22</v>
      </c>
      <c r="H2003" s="17">
        <v>0</v>
      </c>
      <c r="I2003" s="28"/>
      <c r="J2003" s="28"/>
      <c r="K2003" s="22"/>
    </row>
    <row r="2004" spans="1:11" s="4" customFormat="1" x14ac:dyDescent="0.25">
      <c r="A2004" s="40"/>
      <c r="B2004" s="21"/>
      <c r="C2004" s="12" t="s">
        <v>23</v>
      </c>
      <c r="D2004" s="17">
        <v>0</v>
      </c>
      <c r="E2004" s="12" t="s">
        <v>23</v>
      </c>
      <c r="F2004" s="17">
        <v>0</v>
      </c>
      <c r="G2004" s="12" t="s">
        <v>23</v>
      </c>
      <c r="H2004" s="17">
        <v>0</v>
      </c>
      <c r="I2004" s="28"/>
      <c r="J2004" s="28"/>
      <c r="K2004" s="22"/>
    </row>
    <row r="2005" spans="1:11" s="4" customFormat="1" x14ac:dyDescent="0.25">
      <c r="A2005" s="40"/>
      <c r="B2005" s="21"/>
      <c r="C2005" s="12" t="s">
        <v>24</v>
      </c>
      <c r="D2005" s="17">
        <v>856.32</v>
      </c>
      <c r="E2005" s="12" t="s">
        <v>24</v>
      </c>
      <c r="F2005" s="17">
        <v>750</v>
      </c>
      <c r="G2005" s="12" t="s">
        <v>24</v>
      </c>
      <c r="H2005" s="17">
        <v>967.49</v>
      </c>
      <c r="I2005" s="28"/>
      <c r="J2005" s="28"/>
      <c r="K2005" s="22"/>
    </row>
    <row r="2006" spans="1:11" s="4" customFormat="1" x14ac:dyDescent="0.25">
      <c r="A2006" s="41"/>
      <c r="B2006" s="21"/>
      <c r="C2006" s="12" t="s">
        <v>25</v>
      </c>
      <c r="D2006" s="17">
        <v>0</v>
      </c>
      <c r="E2006" s="12" t="s">
        <v>25</v>
      </c>
      <c r="F2006" s="17">
        <v>0</v>
      </c>
      <c r="G2006" s="12" t="s">
        <v>25</v>
      </c>
      <c r="H2006" s="17">
        <v>0</v>
      </c>
      <c r="I2006" s="29"/>
      <c r="J2006" s="29"/>
      <c r="K2006" s="22"/>
    </row>
    <row r="2007" spans="1:11" s="4" customFormat="1" ht="15" customHeight="1" x14ac:dyDescent="0.25">
      <c r="A2007" s="30" t="s">
        <v>656</v>
      </c>
      <c r="B2007" s="31" t="s">
        <v>657</v>
      </c>
      <c r="C2007" s="9" t="s">
        <v>28</v>
      </c>
      <c r="D2007" s="10">
        <f>D2009+D2010+D2011+D2012</f>
        <v>61592.561479999989</v>
      </c>
      <c r="E2007" s="9" t="s">
        <v>28</v>
      </c>
      <c r="F2007" s="10">
        <f>F2009+F2010+F2011+F2012</f>
        <v>68897.600000000006</v>
      </c>
      <c r="G2007" s="9" t="s">
        <v>28</v>
      </c>
      <c r="H2007" s="10">
        <f>H2009+H2010+H2011+H2012</f>
        <v>66230.83</v>
      </c>
      <c r="I2007" s="27" t="s">
        <v>18</v>
      </c>
      <c r="J2007" s="27" t="s">
        <v>658</v>
      </c>
      <c r="K2007" s="22" t="s">
        <v>214</v>
      </c>
    </row>
    <row r="2008" spans="1:11" s="4" customFormat="1" x14ac:dyDescent="0.25">
      <c r="A2008" s="30"/>
      <c r="B2008" s="31"/>
      <c r="C2008" s="9" t="s">
        <v>21</v>
      </c>
      <c r="D2008" s="10"/>
      <c r="E2008" s="9" t="s">
        <v>21</v>
      </c>
      <c r="F2008" s="10"/>
      <c r="G2008" s="9" t="s">
        <v>21</v>
      </c>
      <c r="H2008" s="10"/>
      <c r="I2008" s="28"/>
      <c r="J2008" s="28"/>
      <c r="K2008" s="22"/>
    </row>
    <row r="2009" spans="1:11" s="4" customFormat="1" x14ac:dyDescent="0.25">
      <c r="A2009" s="30"/>
      <c r="B2009" s="31"/>
      <c r="C2009" s="12" t="s">
        <v>22</v>
      </c>
      <c r="D2009" s="10">
        <f>D2015+D2021+D2033+D2039+D2045+D2051+D2027</f>
        <v>28806.6</v>
      </c>
      <c r="E2009" s="12" t="s">
        <v>22</v>
      </c>
      <c r="F2009" s="10">
        <f>F2015+F2021+F2033+F2039+F2045+F2051+F2027</f>
        <v>30372.46</v>
      </c>
      <c r="G2009" s="12" t="s">
        <v>22</v>
      </c>
      <c r="H2009" s="10">
        <f>H2015+H2021+H2033+H2039+H2045+H2051+H2027</f>
        <v>29697.22</v>
      </c>
      <c r="I2009" s="28"/>
      <c r="J2009" s="28"/>
      <c r="K2009" s="22"/>
    </row>
    <row r="2010" spans="1:11" s="4" customFormat="1" x14ac:dyDescent="0.25">
      <c r="A2010" s="30"/>
      <c r="B2010" s="31"/>
      <c r="C2010" s="12" t="s">
        <v>23</v>
      </c>
      <c r="D2010" s="10">
        <f t="shared" ref="D2010:F2012" si="107">D2016+D2022+D2034+D2040+D2046+D2052+D2028</f>
        <v>5649.2</v>
      </c>
      <c r="E2010" s="12" t="s">
        <v>23</v>
      </c>
      <c r="F2010" s="10">
        <f t="shared" si="107"/>
        <v>5800.62</v>
      </c>
      <c r="G2010" s="12" t="s">
        <v>23</v>
      </c>
      <c r="H2010" s="10">
        <f t="shared" ref="H2010:H2012" si="108">H2016+H2022+H2034+H2040+H2046+H2052+H2028</f>
        <v>5760.9</v>
      </c>
      <c r="I2010" s="28"/>
      <c r="J2010" s="28"/>
      <c r="K2010" s="22"/>
    </row>
    <row r="2011" spans="1:11" s="4" customFormat="1" x14ac:dyDescent="0.25">
      <c r="A2011" s="30"/>
      <c r="B2011" s="31"/>
      <c r="C2011" s="12" t="s">
        <v>24</v>
      </c>
      <c r="D2011" s="10">
        <f t="shared" si="107"/>
        <v>27136.761479999997</v>
      </c>
      <c r="E2011" s="12" t="s">
        <v>24</v>
      </c>
      <c r="F2011" s="10">
        <f t="shared" si="107"/>
        <v>32724.52</v>
      </c>
      <c r="G2011" s="12" t="s">
        <v>24</v>
      </c>
      <c r="H2011" s="10">
        <f t="shared" si="108"/>
        <v>30772.71</v>
      </c>
      <c r="I2011" s="28"/>
      <c r="J2011" s="28"/>
      <c r="K2011" s="22"/>
    </row>
    <row r="2012" spans="1:11" s="4" customFormat="1" x14ac:dyDescent="0.25">
      <c r="A2012" s="30"/>
      <c r="B2012" s="31"/>
      <c r="C2012" s="12" t="s">
        <v>25</v>
      </c>
      <c r="D2012" s="10">
        <f t="shared" si="107"/>
        <v>0</v>
      </c>
      <c r="E2012" s="12" t="s">
        <v>25</v>
      </c>
      <c r="F2012" s="10">
        <f t="shared" si="107"/>
        <v>0</v>
      </c>
      <c r="G2012" s="12" t="s">
        <v>25</v>
      </c>
      <c r="H2012" s="10">
        <f t="shared" si="108"/>
        <v>0</v>
      </c>
      <c r="I2012" s="29"/>
      <c r="J2012" s="28"/>
      <c r="K2012" s="22"/>
    </row>
    <row r="2013" spans="1:11" s="4" customFormat="1" x14ac:dyDescent="0.25">
      <c r="A2013" s="32" t="s">
        <v>659</v>
      </c>
      <c r="B2013" s="21" t="s">
        <v>660</v>
      </c>
      <c r="C2013" s="9" t="s">
        <v>28</v>
      </c>
      <c r="D2013" s="17">
        <f>D2015+D2016+D2017+D2018</f>
        <v>33890.11765</v>
      </c>
      <c r="E2013" s="9" t="s">
        <v>28</v>
      </c>
      <c r="F2013" s="17">
        <f>F2015+F2016+F2017+F2018</f>
        <v>35732.299999999996</v>
      </c>
      <c r="G2013" s="9" t="s">
        <v>28</v>
      </c>
      <c r="H2013" s="17">
        <f>H2015+H2016+H2017+H2018</f>
        <v>34937.9</v>
      </c>
      <c r="I2013" s="27" t="s">
        <v>18</v>
      </c>
      <c r="J2013" s="28"/>
      <c r="K2013" s="22" t="s">
        <v>214</v>
      </c>
    </row>
    <row r="2014" spans="1:11" s="4" customFormat="1" x14ac:dyDescent="0.25">
      <c r="A2014" s="32"/>
      <c r="B2014" s="21"/>
      <c r="C2014" s="9" t="s">
        <v>21</v>
      </c>
      <c r="D2014" s="17"/>
      <c r="E2014" s="9" t="s">
        <v>21</v>
      </c>
      <c r="F2014" s="17"/>
      <c r="G2014" s="9" t="s">
        <v>21</v>
      </c>
      <c r="H2014" s="17"/>
      <c r="I2014" s="28"/>
      <c r="J2014" s="28"/>
      <c r="K2014" s="22"/>
    </row>
    <row r="2015" spans="1:11" s="4" customFormat="1" x14ac:dyDescent="0.25">
      <c r="A2015" s="32"/>
      <c r="B2015" s="21"/>
      <c r="C2015" s="12" t="s">
        <v>22</v>
      </c>
      <c r="D2015" s="17">
        <f>28806600/1000</f>
        <v>28806.6</v>
      </c>
      <c r="E2015" s="12" t="s">
        <v>22</v>
      </c>
      <c r="F2015" s="17">
        <v>30372.46</v>
      </c>
      <c r="G2015" s="12" t="s">
        <v>22</v>
      </c>
      <c r="H2015" s="17">
        <v>29697.22</v>
      </c>
      <c r="I2015" s="28"/>
      <c r="J2015" s="28"/>
      <c r="K2015" s="22"/>
    </row>
    <row r="2016" spans="1:11" s="4" customFormat="1" x14ac:dyDescent="0.25">
      <c r="A2016" s="32"/>
      <c r="B2016" s="21"/>
      <c r="C2016" s="12" t="s">
        <v>23</v>
      </c>
      <c r="D2016" s="17">
        <f>1694500/1000</f>
        <v>1694.5</v>
      </c>
      <c r="E2016" s="12" t="s">
        <v>23</v>
      </c>
      <c r="F2016" s="17">
        <v>1786.62</v>
      </c>
      <c r="G2016" s="12" t="s">
        <v>23</v>
      </c>
      <c r="H2016" s="17">
        <v>1746.9</v>
      </c>
      <c r="I2016" s="28"/>
      <c r="J2016" s="28"/>
      <c r="K2016" s="22"/>
    </row>
    <row r="2017" spans="1:11" s="4" customFormat="1" x14ac:dyDescent="0.25">
      <c r="A2017" s="32"/>
      <c r="B2017" s="21"/>
      <c r="C2017" s="12" t="s">
        <v>24</v>
      </c>
      <c r="D2017" s="17">
        <f>3389017.65/1000</f>
        <v>3389.0176499999998</v>
      </c>
      <c r="E2017" s="12" t="s">
        <v>24</v>
      </c>
      <c r="F2017" s="17">
        <v>3573.22</v>
      </c>
      <c r="G2017" s="12" t="s">
        <v>24</v>
      </c>
      <c r="H2017" s="17">
        <v>3493.78</v>
      </c>
      <c r="I2017" s="28"/>
      <c r="J2017" s="28"/>
      <c r="K2017" s="22"/>
    </row>
    <row r="2018" spans="1:11" s="4" customFormat="1" x14ac:dyDescent="0.25">
      <c r="A2018" s="32"/>
      <c r="B2018" s="21"/>
      <c r="C2018" s="12" t="s">
        <v>25</v>
      </c>
      <c r="D2018" s="17">
        <v>0</v>
      </c>
      <c r="E2018" s="12" t="s">
        <v>25</v>
      </c>
      <c r="F2018" s="17">
        <v>0</v>
      </c>
      <c r="G2018" s="12" t="s">
        <v>25</v>
      </c>
      <c r="H2018" s="17">
        <v>0</v>
      </c>
      <c r="I2018" s="29"/>
      <c r="J2018" s="28"/>
      <c r="K2018" s="22"/>
    </row>
    <row r="2019" spans="1:11" s="4" customFormat="1" x14ac:dyDescent="0.25">
      <c r="A2019" s="32" t="s">
        <v>661</v>
      </c>
      <c r="B2019" s="21" t="s">
        <v>662</v>
      </c>
      <c r="C2019" s="9" t="s">
        <v>28</v>
      </c>
      <c r="D2019" s="17">
        <f>D2021+D2022+D2023+D2024</f>
        <v>12171.2</v>
      </c>
      <c r="E2019" s="9" t="s">
        <v>28</v>
      </c>
      <c r="F2019" s="17">
        <f>F2021+F2022+F2023+F2024</f>
        <v>0</v>
      </c>
      <c r="G2019" s="9" t="s">
        <v>28</v>
      </c>
      <c r="H2019" s="17">
        <f>H2021+H2022+H2023+H2024</f>
        <v>0</v>
      </c>
      <c r="I2019" s="27" t="s">
        <v>18</v>
      </c>
      <c r="J2019" s="28"/>
      <c r="K2019" s="22" t="s">
        <v>214</v>
      </c>
    </row>
    <row r="2020" spans="1:11" s="4" customFormat="1" x14ac:dyDescent="0.25">
      <c r="A2020" s="32"/>
      <c r="B2020" s="21"/>
      <c r="C2020" s="9" t="s">
        <v>21</v>
      </c>
      <c r="D2020" s="17"/>
      <c r="E2020" s="9" t="s">
        <v>21</v>
      </c>
      <c r="F2020" s="17"/>
      <c r="G2020" s="9" t="s">
        <v>21</v>
      </c>
      <c r="H2020" s="17"/>
      <c r="I2020" s="28"/>
      <c r="J2020" s="28"/>
      <c r="K2020" s="22"/>
    </row>
    <row r="2021" spans="1:11" s="4" customFormat="1" x14ac:dyDescent="0.25">
      <c r="A2021" s="32"/>
      <c r="B2021" s="21"/>
      <c r="C2021" s="12" t="s">
        <v>22</v>
      </c>
      <c r="D2021" s="17">
        <v>0</v>
      </c>
      <c r="E2021" s="12" t="s">
        <v>22</v>
      </c>
      <c r="F2021" s="17">
        <v>0</v>
      </c>
      <c r="G2021" s="12" t="s">
        <v>22</v>
      </c>
      <c r="H2021" s="17">
        <v>0</v>
      </c>
      <c r="I2021" s="28"/>
      <c r="J2021" s="28"/>
      <c r="K2021" s="22"/>
    </row>
    <row r="2022" spans="1:11" s="4" customFormat="1" x14ac:dyDescent="0.25">
      <c r="A2022" s="32"/>
      <c r="B2022" s="21"/>
      <c r="C2022" s="12" t="s">
        <v>23</v>
      </c>
      <c r="D2022" s="17">
        <v>3954.7</v>
      </c>
      <c r="E2022" s="12" t="s">
        <v>23</v>
      </c>
      <c r="F2022" s="17">
        <v>0</v>
      </c>
      <c r="G2022" s="12" t="s">
        <v>23</v>
      </c>
      <c r="H2022" s="17">
        <v>0</v>
      </c>
      <c r="I2022" s="28"/>
      <c r="J2022" s="28"/>
      <c r="K2022" s="22"/>
    </row>
    <row r="2023" spans="1:11" s="4" customFormat="1" x14ac:dyDescent="0.25">
      <c r="A2023" s="32"/>
      <c r="B2023" s="21"/>
      <c r="C2023" s="12" t="s">
        <v>24</v>
      </c>
      <c r="D2023" s="17">
        <f>8216500/1000</f>
        <v>8216.5</v>
      </c>
      <c r="E2023" s="12" t="s">
        <v>24</v>
      </c>
      <c r="F2023" s="17">
        <v>0</v>
      </c>
      <c r="G2023" s="12" t="s">
        <v>24</v>
      </c>
      <c r="H2023" s="17">
        <v>0</v>
      </c>
      <c r="I2023" s="28"/>
      <c r="J2023" s="28"/>
      <c r="K2023" s="22"/>
    </row>
    <row r="2024" spans="1:11" s="4" customFormat="1" x14ac:dyDescent="0.25">
      <c r="A2024" s="32"/>
      <c r="B2024" s="21"/>
      <c r="C2024" s="12" t="s">
        <v>25</v>
      </c>
      <c r="D2024" s="17">
        <v>0</v>
      </c>
      <c r="E2024" s="12" t="s">
        <v>25</v>
      </c>
      <c r="F2024" s="17">
        <v>0</v>
      </c>
      <c r="G2024" s="12" t="s">
        <v>25</v>
      </c>
      <c r="H2024" s="17">
        <v>0</v>
      </c>
      <c r="I2024" s="29"/>
      <c r="J2024" s="28"/>
      <c r="K2024" s="22"/>
    </row>
    <row r="2025" spans="1:11" s="4" customFormat="1" x14ac:dyDescent="0.25">
      <c r="A2025" s="32" t="s">
        <v>663</v>
      </c>
      <c r="B2025" s="21" t="s">
        <v>664</v>
      </c>
      <c r="C2025" s="9" t="s">
        <v>28</v>
      </c>
      <c r="D2025" s="17">
        <f>D2027+D2028+D2029+D2030</f>
        <v>0</v>
      </c>
      <c r="E2025" s="9" t="s">
        <v>28</v>
      </c>
      <c r="F2025" s="17">
        <f>F2027+F2028+F2029+F2030</f>
        <v>12514</v>
      </c>
      <c r="G2025" s="9" t="s">
        <v>28</v>
      </c>
      <c r="H2025" s="17">
        <f>H2027+H2028+H2029+H2030</f>
        <v>12813.76</v>
      </c>
      <c r="I2025" s="27" t="s">
        <v>18</v>
      </c>
      <c r="J2025" s="28"/>
      <c r="K2025" s="22" t="s">
        <v>214</v>
      </c>
    </row>
    <row r="2026" spans="1:11" s="4" customFormat="1" x14ac:dyDescent="0.25">
      <c r="A2026" s="32"/>
      <c r="B2026" s="21"/>
      <c r="C2026" s="9" t="s">
        <v>21</v>
      </c>
      <c r="D2026" s="17"/>
      <c r="E2026" s="9" t="s">
        <v>21</v>
      </c>
      <c r="F2026" s="17"/>
      <c r="G2026" s="9" t="s">
        <v>21</v>
      </c>
      <c r="H2026" s="17"/>
      <c r="I2026" s="28"/>
      <c r="J2026" s="28"/>
      <c r="K2026" s="22"/>
    </row>
    <row r="2027" spans="1:11" s="4" customFormat="1" x14ac:dyDescent="0.25">
      <c r="A2027" s="32"/>
      <c r="B2027" s="21"/>
      <c r="C2027" s="12" t="s">
        <v>22</v>
      </c>
      <c r="D2027" s="17">
        <v>0</v>
      </c>
      <c r="E2027" s="12" t="s">
        <v>22</v>
      </c>
      <c r="F2027" s="17">
        <v>0</v>
      </c>
      <c r="G2027" s="12" t="s">
        <v>22</v>
      </c>
      <c r="H2027" s="17">
        <v>0</v>
      </c>
      <c r="I2027" s="28"/>
      <c r="J2027" s="28"/>
      <c r="K2027" s="22"/>
    </row>
    <row r="2028" spans="1:11" s="4" customFormat="1" x14ac:dyDescent="0.25">
      <c r="A2028" s="32"/>
      <c r="B2028" s="21"/>
      <c r="C2028" s="12" t="s">
        <v>23</v>
      </c>
      <c r="D2028" s="17">
        <v>0</v>
      </c>
      <c r="E2028" s="12" t="s">
        <v>23</v>
      </c>
      <c r="F2028" s="17">
        <v>4014</v>
      </c>
      <c r="G2028" s="12" t="s">
        <v>23</v>
      </c>
      <c r="H2028" s="17">
        <v>4014</v>
      </c>
      <c r="I2028" s="28"/>
      <c r="J2028" s="28"/>
      <c r="K2028" s="22"/>
    </row>
    <row r="2029" spans="1:11" s="4" customFormat="1" x14ac:dyDescent="0.25">
      <c r="A2029" s="32"/>
      <c r="B2029" s="21"/>
      <c r="C2029" s="12" t="s">
        <v>24</v>
      </c>
      <c r="D2029" s="17">
        <v>0</v>
      </c>
      <c r="E2029" s="12" t="s">
        <v>24</v>
      </c>
      <c r="F2029" s="17">
        <v>8500</v>
      </c>
      <c r="G2029" s="12" t="s">
        <v>24</v>
      </c>
      <c r="H2029" s="17">
        <v>8799.76</v>
      </c>
      <c r="I2029" s="28"/>
      <c r="J2029" s="28"/>
      <c r="K2029" s="22"/>
    </row>
    <row r="2030" spans="1:11" s="4" customFormat="1" x14ac:dyDescent="0.25">
      <c r="A2030" s="32"/>
      <c r="B2030" s="21"/>
      <c r="C2030" s="12" t="s">
        <v>25</v>
      </c>
      <c r="D2030" s="17">
        <v>0</v>
      </c>
      <c r="E2030" s="12" t="s">
        <v>25</v>
      </c>
      <c r="F2030" s="17">
        <v>0</v>
      </c>
      <c r="G2030" s="12" t="s">
        <v>25</v>
      </c>
      <c r="H2030" s="17">
        <v>0</v>
      </c>
      <c r="I2030" s="29"/>
      <c r="J2030" s="28"/>
      <c r="K2030" s="22"/>
    </row>
    <row r="2031" spans="1:11" s="4" customFormat="1" x14ac:dyDescent="0.25">
      <c r="A2031" s="32" t="s">
        <v>665</v>
      </c>
      <c r="B2031" s="21" t="s">
        <v>666</v>
      </c>
      <c r="C2031" s="9" t="s">
        <v>28</v>
      </c>
      <c r="D2031" s="17">
        <f>D2033+D2034+D2035+D2036</f>
        <v>5058.7</v>
      </c>
      <c r="E2031" s="9" t="s">
        <v>28</v>
      </c>
      <c r="F2031" s="17">
        <f>F2033+F2034+F2035+F2036</f>
        <v>5564.6</v>
      </c>
      <c r="G2031" s="9" t="s">
        <v>28</v>
      </c>
      <c r="H2031" s="17">
        <f>H2033+H2034+H2035+H2036</f>
        <v>6215.13</v>
      </c>
      <c r="I2031" s="27" t="s">
        <v>18</v>
      </c>
      <c r="J2031" s="28"/>
      <c r="K2031" s="22" t="s">
        <v>214</v>
      </c>
    </row>
    <row r="2032" spans="1:11" s="4" customFormat="1" x14ac:dyDescent="0.25">
      <c r="A2032" s="32"/>
      <c r="B2032" s="21"/>
      <c r="C2032" s="9" t="s">
        <v>21</v>
      </c>
      <c r="D2032" s="17"/>
      <c r="E2032" s="9" t="s">
        <v>21</v>
      </c>
      <c r="F2032" s="17"/>
      <c r="G2032" s="9" t="s">
        <v>21</v>
      </c>
      <c r="H2032" s="17"/>
      <c r="I2032" s="28"/>
      <c r="J2032" s="28"/>
      <c r="K2032" s="22"/>
    </row>
    <row r="2033" spans="1:11" s="4" customFormat="1" x14ac:dyDescent="0.25">
      <c r="A2033" s="32"/>
      <c r="B2033" s="21"/>
      <c r="C2033" s="12" t="s">
        <v>22</v>
      </c>
      <c r="D2033" s="17">
        <v>0</v>
      </c>
      <c r="E2033" s="12" t="s">
        <v>22</v>
      </c>
      <c r="F2033" s="17">
        <v>0</v>
      </c>
      <c r="G2033" s="12" t="s">
        <v>22</v>
      </c>
      <c r="H2033" s="17">
        <v>0</v>
      </c>
      <c r="I2033" s="28"/>
      <c r="J2033" s="28"/>
      <c r="K2033" s="22"/>
    </row>
    <row r="2034" spans="1:11" s="4" customFormat="1" x14ac:dyDescent="0.25">
      <c r="A2034" s="32"/>
      <c r="B2034" s="21"/>
      <c r="C2034" s="12" t="s">
        <v>23</v>
      </c>
      <c r="D2034" s="17">
        <v>0</v>
      </c>
      <c r="E2034" s="12" t="s">
        <v>23</v>
      </c>
      <c r="F2034" s="17">
        <v>0</v>
      </c>
      <c r="G2034" s="12" t="s">
        <v>23</v>
      </c>
      <c r="H2034" s="17">
        <v>0</v>
      </c>
      <c r="I2034" s="28"/>
      <c r="J2034" s="28"/>
      <c r="K2034" s="22"/>
    </row>
    <row r="2035" spans="1:11" s="4" customFormat="1" x14ac:dyDescent="0.25">
      <c r="A2035" s="32"/>
      <c r="B2035" s="21"/>
      <c r="C2035" s="12" t="s">
        <v>24</v>
      </c>
      <c r="D2035" s="17">
        <f>5058700/1000</f>
        <v>5058.7</v>
      </c>
      <c r="E2035" s="12" t="s">
        <v>24</v>
      </c>
      <c r="F2035" s="17">
        <v>5564.6</v>
      </c>
      <c r="G2035" s="12" t="s">
        <v>24</v>
      </c>
      <c r="H2035" s="17">
        <v>6215.13</v>
      </c>
      <c r="I2035" s="28"/>
      <c r="J2035" s="28"/>
      <c r="K2035" s="22"/>
    </row>
    <row r="2036" spans="1:11" s="4" customFormat="1" x14ac:dyDescent="0.25">
      <c r="A2036" s="32"/>
      <c r="B2036" s="21"/>
      <c r="C2036" s="12" t="s">
        <v>25</v>
      </c>
      <c r="D2036" s="17">
        <v>0</v>
      </c>
      <c r="E2036" s="12" t="s">
        <v>25</v>
      </c>
      <c r="F2036" s="17">
        <v>0</v>
      </c>
      <c r="G2036" s="12" t="s">
        <v>25</v>
      </c>
      <c r="H2036" s="17">
        <v>0</v>
      </c>
      <c r="I2036" s="29"/>
      <c r="J2036" s="28"/>
      <c r="K2036" s="22"/>
    </row>
    <row r="2037" spans="1:11" s="4" customFormat="1" x14ac:dyDescent="0.25">
      <c r="A2037" s="32" t="s">
        <v>667</v>
      </c>
      <c r="B2037" s="21" t="s">
        <v>668</v>
      </c>
      <c r="C2037" s="9" t="s">
        <v>28</v>
      </c>
      <c r="D2037" s="17">
        <f>D2039+D2040+D2041+D2042</f>
        <v>9619.3222299999998</v>
      </c>
      <c r="E2037" s="9" t="s">
        <v>28</v>
      </c>
      <c r="F2037" s="17">
        <f>F2039+F2040+F2041+F2042</f>
        <v>10352.799999999999</v>
      </c>
      <c r="G2037" s="9" t="s">
        <v>28</v>
      </c>
      <c r="H2037" s="17">
        <f>H2039+H2040+H2041+H2042</f>
        <v>10732.63</v>
      </c>
      <c r="I2037" s="27" t="s">
        <v>18</v>
      </c>
      <c r="J2037" s="28"/>
      <c r="K2037" s="22" t="s">
        <v>214</v>
      </c>
    </row>
    <row r="2038" spans="1:11" s="4" customFormat="1" x14ac:dyDescent="0.25">
      <c r="A2038" s="32"/>
      <c r="B2038" s="21"/>
      <c r="C2038" s="9" t="s">
        <v>21</v>
      </c>
      <c r="D2038" s="17"/>
      <c r="E2038" s="9" t="s">
        <v>21</v>
      </c>
      <c r="F2038" s="17"/>
      <c r="G2038" s="9" t="s">
        <v>21</v>
      </c>
      <c r="H2038" s="17"/>
      <c r="I2038" s="28"/>
      <c r="J2038" s="28"/>
      <c r="K2038" s="22"/>
    </row>
    <row r="2039" spans="1:11" s="4" customFormat="1" x14ac:dyDescent="0.25">
      <c r="A2039" s="32"/>
      <c r="B2039" s="21"/>
      <c r="C2039" s="12" t="s">
        <v>22</v>
      </c>
      <c r="D2039" s="17">
        <v>0</v>
      </c>
      <c r="E2039" s="12" t="s">
        <v>22</v>
      </c>
      <c r="F2039" s="17">
        <v>0</v>
      </c>
      <c r="G2039" s="12" t="s">
        <v>22</v>
      </c>
      <c r="H2039" s="17">
        <v>0</v>
      </c>
      <c r="I2039" s="28"/>
      <c r="J2039" s="28"/>
      <c r="K2039" s="22"/>
    </row>
    <row r="2040" spans="1:11" s="4" customFormat="1" x14ac:dyDescent="0.25">
      <c r="A2040" s="32"/>
      <c r="B2040" s="21"/>
      <c r="C2040" s="12" t="s">
        <v>23</v>
      </c>
      <c r="D2040" s="17">
        <v>0</v>
      </c>
      <c r="E2040" s="12" t="s">
        <v>23</v>
      </c>
      <c r="F2040" s="17">
        <v>0</v>
      </c>
      <c r="G2040" s="12" t="s">
        <v>23</v>
      </c>
      <c r="H2040" s="17">
        <v>0</v>
      </c>
      <c r="I2040" s="28"/>
      <c r="J2040" s="28"/>
      <c r="K2040" s="22"/>
    </row>
    <row r="2041" spans="1:11" s="4" customFormat="1" x14ac:dyDescent="0.25">
      <c r="A2041" s="32"/>
      <c r="B2041" s="21"/>
      <c r="C2041" s="12" t="s">
        <v>24</v>
      </c>
      <c r="D2041" s="17">
        <f>9619322.23/1000</f>
        <v>9619.3222299999998</v>
      </c>
      <c r="E2041" s="12" t="s">
        <v>24</v>
      </c>
      <c r="F2041" s="17">
        <v>10352.799999999999</v>
      </c>
      <c r="G2041" s="12" t="s">
        <v>24</v>
      </c>
      <c r="H2041" s="17">
        <v>10732.63</v>
      </c>
      <c r="I2041" s="28"/>
      <c r="J2041" s="28"/>
      <c r="K2041" s="22"/>
    </row>
    <row r="2042" spans="1:11" s="4" customFormat="1" x14ac:dyDescent="0.25">
      <c r="A2042" s="32"/>
      <c r="B2042" s="21"/>
      <c r="C2042" s="12" t="s">
        <v>25</v>
      </c>
      <c r="D2042" s="17">
        <v>0</v>
      </c>
      <c r="E2042" s="12" t="s">
        <v>25</v>
      </c>
      <c r="F2042" s="17">
        <v>0</v>
      </c>
      <c r="G2042" s="12" t="s">
        <v>25</v>
      </c>
      <c r="H2042" s="17">
        <v>0</v>
      </c>
      <c r="I2042" s="29"/>
      <c r="J2042" s="28"/>
      <c r="K2042" s="22"/>
    </row>
    <row r="2043" spans="1:11" s="4" customFormat="1" x14ac:dyDescent="0.25">
      <c r="A2043" s="32" t="s">
        <v>669</v>
      </c>
      <c r="B2043" s="36" t="s">
        <v>670</v>
      </c>
      <c r="C2043" s="9" t="s">
        <v>28</v>
      </c>
      <c r="D2043" s="17">
        <f>D2045+D2046+D2047+D2048</f>
        <v>853.22159999999997</v>
      </c>
      <c r="E2043" s="9" t="s">
        <v>28</v>
      </c>
      <c r="F2043" s="17">
        <f>F2045+F2046+F2047+F2048</f>
        <v>975.4</v>
      </c>
      <c r="G2043" s="9" t="s">
        <v>28</v>
      </c>
      <c r="H2043" s="17">
        <f>H2045+H2046+H2047+H2048</f>
        <v>1531.41</v>
      </c>
      <c r="I2043" s="27" t="s">
        <v>18</v>
      </c>
      <c r="J2043" s="28"/>
      <c r="K2043" s="22" t="s">
        <v>214</v>
      </c>
    </row>
    <row r="2044" spans="1:11" s="4" customFormat="1" x14ac:dyDescent="0.25">
      <c r="A2044" s="32"/>
      <c r="B2044" s="37"/>
      <c r="C2044" s="9" t="s">
        <v>21</v>
      </c>
      <c r="D2044" s="17"/>
      <c r="E2044" s="9" t="s">
        <v>21</v>
      </c>
      <c r="F2044" s="17"/>
      <c r="G2044" s="9" t="s">
        <v>21</v>
      </c>
      <c r="H2044" s="17"/>
      <c r="I2044" s="28"/>
      <c r="J2044" s="28"/>
      <c r="K2044" s="22"/>
    </row>
    <row r="2045" spans="1:11" s="4" customFormat="1" x14ac:dyDescent="0.25">
      <c r="A2045" s="32"/>
      <c r="B2045" s="37"/>
      <c r="C2045" s="12" t="s">
        <v>22</v>
      </c>
      <c r="D2045" s="17">
        <v>0</v>
      </c>
      <c r="E2045" s="12" t="s">
        <v>22</v>
      </c>
      <c r="F2045" s="17">
        <v>0</v>
      </c>
      <c r="G2045" s="12" t="s">
        <v>22</v>
      </c>
      <c r="H2045" s="17">
        <v>0</v>
      </c>
      <c r="I2045" s="28"/>
      <c r="J2045" s="28"/>
      <c r="K2045" s="22"/>
    </row>
    <row r="2046" spans="1:11" s="4" customFormat="1" x14ac:dyDescent="0.25">
      <c r="A2046" s="32"/>
      <c r="B2046" s="37"/>
      <c r="C2046" s="12" t="s">
        <v>23</v>
      </c>
      <c r="D2046" s="17">
        <v>0</v>
      </c>
      <c r="E2046" s="12" t="s">
        <v>23</v>
      </c>
      <c r="F2046" s="17">
        <v>0</v>
      </c>
      <c r="G2046" s="12" t="s">
        <v>23</v>
      </c>
      <c r="H2046" s="17">
        <v>0</v>
      </c>
      <c r="I2046" s="28"/>
      <c r="J2046" s="28"/>
      <c r="K2046" s="22"/>
    </row>
    <row r="2047" spans="1:11" s="4" customFormat="1" x14ac:dyDescent="0.25">
      <c r="A2047" s="32"/>
      <c r="B2047" s="37"/>
      <c r="C2047" s="12" t="s">
        <v>24</v>
      </c>
      <c r="D2047" s="17">
        <f>853221.6/1000</f>
        <v>853.22159999999997</v>
      </c>
      <c r="E2047" s="12" t="s">
        <v>24</v>
      </c>
      <c r="F2047" s="17">
        <v>975.4</v>
      </c>
      <c r="G2047" s="12" t="s">
        <v>24</v>
      </c>
      <c r="H2047" s="17">
        <v>1531.41</v>
      </c>
      <c r="I2047" s="28"/>
      <c r="J2047" s="28"/>
      <c r="K2047" s="22"/>
    </row>
    <row r="2048" spans="1:11" s="4" customFormat="1" x14ac:dyDescent="0.25">
      <c r="A2048" s="32"/>
      <c r="B2048" s="38"/>
      <c r="C2048" s="12" t="s">
        <v>25</v>
      </c>
      <c r="D2048" s="17">
        <v>0</v>
      </c>
      <c r="E2048" s="12" t="s">
        <v>25</v>
      </c>
      <c r="F2048" s="17">
        <v>0</v>
      </c>
      <c r="G2048" s="12" t="s">
        <v>25</v>
      </c>
      <c r="H2048" s="17">
        <v>0</v>
      </c>
      <c r="I2048" s="29"/>
      <c r="J2048" s="28"/>
      <c r="K2048" s="22"/>
    </row>
    <row r="2049" spans="1:11" s="4" customFormat="1" x14ac:dyDescent="0.25">
      <c r="A2049" s="32" t="s">
        <v>671</v>
      </c>
      <c r="B2049" s="36" t="s">
        <v>672</v>
      </c>
      <c r="C2049" s="9" t="s">
        <v>28</v>
      </c>
      <c r="D2049" s="17">
        <f>D2051+D2052+D2053+D2054</f>
        <v>0</v>
      </c>
      <c r="E2049" s="9" t="s">
        <v>28</v>
      </c>
      <c r="F2049" s="17">
        <f>F2051+F2052+F2053+F2054</f>
        <v>3758.5</v>
      </c>
      <c r="G2049" s="9" t="s">
        <v>28</v>
      </c>
      <c r="H2049" s="17">
        <f>H2051+H2052+H2053+H2054</f>
        <v>0</v>
      </c>
      <c r="I2049" s="27" t="s">
        <v>18</v>
      </c>
      <c r="J2049" s="28"/>
      <c r="K2049" s="22" t="s">
        <v>214</v>
      </c>
    </row>
    <row r="2050" spans="1:11" s="4" customFormat="1" x14ac:dyDescent="0.25">
      <c r="A2050" s="32"/>
      <c r="B2050" s="37"/>
      <c r="C2050" s="9" t="s">
        <v>21</v>
      </c>
      <c r="D2050" s="17"/>
      <c r="E2050" s="9" t="s">
        <v>21</v>
      </c>
      <c r="F2050" s="17"/>
      <c r="G2050" s="9" t="s">
        <v>21</v>
      </c>
      <c r="H2050" s="17"/>
      <c r="I2050" s="28"/>
      <c r="J2050" s="28"/>
      <c r="K2050" s="22"/>
    </row>
    <row r="2051" spans="1:11" s="4" customFormat="1" x14ac:dyDescent="0.25">
      <c r="A2051" s="32"/>
      <c r="B2051" s="37"/>
      <c r="C2051" s="12" t="s">
        <v>22</v>
      </c>
      <c r="D2051" s="17">
        <v>0</v>
      </c>
      <c r="E2051" s="12" t="s">
        <v>22</v>
      </c>
      <c r="F2051" s="17">
        <v>0</v>
      </c>
      <c r="G2051" s="12" t="s">
        <v>22</v>
      </c>
      <c r="H2051" s="17">
        <v>0</v>
      </c>
      <c r="I2051" s="28"/>
      <c r="J2051" s="28"/>
      <c r="K2051" s="22"/>
    </row>
    <row r="2052" spans="1:11" s="4" customFormat="1" x14ac:dyDescent="0.25">
      <c r="A2052" s="32"/>
      <c r="B2052" s="37"/>
      <c r="C2052" s="12" t="s">
        <v>23</v>
      </c>
      <c r="D2052" s="17">
        <v>0</v>
      </c>
      <c r="E2052" s="12" t="s">
        <v>23</v>
      </c>
      <c r="F2052" s="17">
        <v>0</v>
      </c>
      <c r="G2052" s="12" t="s">
        <v>23</v>
      </c>
      <c r="H2052" s="17">
        <v>0</v>
      </c>
      <c r="I2052" s="28"/>
      <c r="J2052" s="28"/>
      <c r="K2052" s="22"/>
    </row>
    <row r="2053" spans="1:11" s="4" customFormat="1" x14ac:dyDescent="0.25">
      <c r="A2053" s="32"/>
      <c r="B2053" s="37"/>
      <c r="C2053" s="12" t="s">
        <v>24</v>
      </c>
      <c r="D2053" s="17">
        <v>0</v>
      </c>
      <c r="E2053" s="12" t="s">
        <v>24</v>
      </c>
      <c r="F2053" s="17">
        <v>3758.5</v>
      </c>
      <c r="G2053" s="12" t="s">
        <v>24</v>
      </c>
      <c r="H2053" s="17">
        <v>0</v>
      </c>
      <c r="I2053" s="28"/>
      <c r="J2053" s="28"/>
      <c r="K2053" s="22"/>
    </row>
    <row r="2054" spans="1:11" s="4" customFormat="1" x14ac:dyDescent="0.25">
      <c r="A2054" s="32"/>
      <c r="B2054" s="38"/>
      <c r="C2054" s="12" t="s">
        <v>25</v>
      </c>
      <c r="D2054" s="17">
        <v>0</v>
      </c>
      <c r="E2054" s="12" t="s">
        <v>25</v>
      </c>
      <c r="F2054" s="17">
        <v>0</v>
      </c>
      <c r="G2054" s="12" t="s">
        <v>25</v>
      </c>
      <c r="H2054" s="17">
        <v>0</v>
      </c>
      <c r="I2054" s="29"/>
      <c r="J2054" s="29"/>
      <c r="K2054" s="22"/>
    </row>
    <row r="2055" spans="1:11" s="4" customFormat="1" x14ac:dyDescent="0.25">
      <c r="A2055" s="30" t="s">
        <v>673</v>
      </c>
      <c r="B2055" s="31" t="s">
        <v>674</v>
      </c>
      <c r="C2055" s="9" t="s">
        <v>28</v>
      </c>
      <c r="D2055" s="10">
        <f>D2057+D2058+D2059+D2060</f>
        <v>3189.68</v>
      </c>
      <c r="E2055" s="9" t="s">
        <v>28</v>
      </c>
      <c r="F2055" s="10">
        <f>F2057+F2058+F2059+F2060</f>
        <v>1410.6</v>
      </c>
      <c r="G2055" s="9" t="s">
        <v>28</v>
      </c>
      <c r="H2055" s="10">
        <f>H2057+H2058+H2059+H2060</f>
        <v>2108.4</v>
      </c>
      <c r="I2055" s="27" t="s">
        <v>18</v>
      </c>
      <c r="J2055" s="27" t="s">
        <v>675</v>
      </c>
      <c r="K2055" s="22" t="s">
        <v>214</v>
      </c>
    </row>
    <row r="2056" spans="1:11" s="4" customFormat="1" x14ac:dyDescent="0.25">
      <c r="A2056" s="30"/>
      <c r="B2056" s="31"/>
      <c r="C2056" s="9" t="s">
        <v>21</v>
      </c>
      <c r="D2056" s="10"/>
      <c r="E2056" s="9" t="s">
        <v>21</v>
      </c>
      <c r="F2056" s="10"/>
      <c r="G2056" s="9" t="s">
        <v>21</v>
      </c>
      <c r="H2056" s="10"/>
      <c r="I2056" s="28"/>
      <c r="J2056" s="28"/>
      <c r="K2056" s="22"/>
    </row>
    <row r="2057" spans="1:11" s="4" customFormat="1" x14ac:dyDescent="0.25">
      <c r="A2057" s="30"/>
      <c r="B2057" s="31"/>
      <c r="C2057" s="12" t="s">
        <v>22</v>
      </c>
      <c r="D2057" s="10">
        <f>D2063+D2075+D2069</f>
        <v>0</v>
      </c>
      <c r="E2057" s="12" t="s">
        <v>22</v>
      </c>
      <c r="F2057" s="10">
        <f>F2063+F2075+F2069</f>
        <v>0</v>
      </c>
      <c r="G2057" s="12" t="s">
        <v>22</v>
      </c>
      <c r="H2057" s="10">
        <f>H2063+H2075+H2069</f>
        <v>0</v>
      </c>
      <c r="I2057" s="28"/>
      <c r="J2057" s="28"/>
      <c r="K2057" s="22"/>
    </row>
    <row r="2058" spans="1:11" s="4" customFormat="1" x14ac:dyDescent="0.25">
      <c r="A2058" s="30"/>
      <c r="B2058" s="31"/>
      <c r="C2058" s="12" t="s">
        <v>23</v>
      </c>
      <c r="D2058" s="10">
        <f t="shared" ref="D2058:F2060" si="109">D2064+D2076+D2070</f>
        <v>0</v>
      </c>
      <c r="E2058" s="12" t="s">
        <v>23</v>
      </c>
      <c r="F2058" s="10">
        <f t="shared" si="109"/>
        <v>0</v>
      </c>
      <c r="G2058" s="12" t="s">
        <v>23</v>
      </c>
      <c r="H2058" s="10">
        <f t="shared" ref="H2058:H2060" si="110">H2064+H2076+H2070</f>
        <v>0</v>
      </c>
      <c r="I2058" s="28"/>
      <c r="J2058" s="28"/>
      <c r="K2058" s="22"/>
    </row>
    <row r="2059" spans="1:11" s="4" customFormat="1" x14ac:dyDescent="0.25">
      <c r="A2059" s="30"/>
      <c r="B2059" s="31"/>
      <c r="C2059" s="12" t="s">
        <v>24</v>
      </c>
      <c r="D2059" s="10">
        <f t="shared" si="109"/>
        <v>3189.68</v>
      </c>
      <c r="E2059" s="12" t="s">
        <v>24</v>
      </c>
      <c r="F2059" s="10">
        <f t="shared" si="109"/>
        <v>1410.6</v>
      </c>
      <c r="G2059" s="12" t="s">
        <v>24</v>
      </c>
      <c r="H2059" s="10">
        <f t="shared" si="110"/>
        <v>2108.4</v>
      </c>
      <c r="I2059" s="28"/>
      <c r="J2059" s="28"/>
      <c r="K2059" s="22"/>
    </row>
    <row r="2060" spans="1:11" s="4" customFormat="1" x14ac:dyDescent="0.25">
      <c r="A2060" s="30"/>
      <c r="B2060" s="31"/>
      <c r="C2060" s="12" t="s">
        <v>25</v>
      </c>
      <c r="D2060" s="10">
        <f t="shared" si="109"/>
        <v>0</v>
      </c>
      <c r="E2060" s="12" t="s">
        <v>25</v>
      </c>
      <c r="F2060" s="10">
        <f t="shared" si="109"/>
        <v>0</v>
      </c>
      <c r="G2060" s="12" t="s">
        <v>25</v>
      </c>
      <c r="H2060" s="10">
        <f t="shared" si="110"/>
        <v>0</v>
      </c>
      <c r="I2060" s="29"/>
      <c r="J2060" s="28"/>
      <c r="K2060" s="22"/>
    </row>
    <row r="2061" spans="1:11" s="4" customFormat="1" x14ac:dyDescent="0.25">
      <c r="A2061" s="32" t="s">
        <v>676</v>
      </c>
      <c r="B2061" s="21" t="s">
        <v>677</v>
      </c>
      <c r="C2061" s="9" t="s">
        <v>28</v>
      </c>
      <c r="D2061" s="17">
        <f>D2063+D2064+D2065+D2066</f>
        <v>1441.8</v>
      </c>
      <c r="E2061" s="9" t="s">
        <v>28</v>
      </c>
      <c r="F2061" s="17">
        <f>F2063+F2064+F2065+F2066</f>
        <v>1000</v>
      </c>
      <c r="G2061" s="9" t="s">
        <v>28</v>
      </c>
      <c r="H2061" s="17">
        <f>H2063+H2064+H2065+H2066</f>
        <v>1520.5</v>
      </c>
      <c r="I2061" s="27" t="s">
        <v>18</v>
      </c>
      <c r="J2061" s="28"/>
      <c r="K2061" s="22" t="s">
        <v>214</v>
      </c>
    </row>
    <row r="2062" spans="1:11" s="4" customFormat="1" x14ac:dyDescent="0.25">
      <c r="A2062" s="32"/>
      <c r="B2062" s="21"/>
      <c r="C2062" s="9" t="s">
        <v>21</v>
      </c>
      <c r="D2062" s="17"/>
      <c r="E2062" s="9" t="s">
        <v>21</v>
      </c>
      <c r="F2062" s="17"/>
      <c r="G2062" s="9" t="s">
        <v>21</v>
      </c>
      <c r="H2062" s="17"/>
      <c r="I2062" s="28"/>
      <c r="J2062" s="28"/>
      <c r="K2062" s="22"/>
    </row>
    <row r="2063" spans="1:11" s="4" customFormat="1" x14ac:dyDescent="0.25">
      <c r="A2063" s="32"/>
      <c r="B2063" s="21"/>
      <c r="C2063" s="12" t="s">
        <v>22</v>
      </c>
      <c r="D2063" s="17">
        <v>0</v>
      </c>
      <c r="E2063" s="12" t="s">
        <v>22</v>
      </c>
      <c r="F2063" s="17">
        <v>0</v>
      </c>
      <c r="G2063" s="12" t="s">
        <v>22</v>
      </c>
      <c r="H2063" s="17">
        <v>0</v>
      </c>
      <c r="I2063" s="28"/>
      <c r="J2063" s="28"/>
      <c r="K2063" s="22"/>
    </row>
    <row r="2064" spans="1:11" s="4" customFormat="1" x14ac:dyDescent="0.25">
      <c r="A2064" s="32"/>
      <c r="B2064" s="21"/>
      <c r="C2064" s="12" t="s">
        <v>23</v>
      </c>
      <c r="D2064" s="17">
        <v>0</v>
      </c>
      <c r="E2064" s="12" t="s">
        <v>23</v>
      </c>
      <c r="F2064" s="17">
        <v>0</v>
      </c>
      <c r="G2064" s="12" t="s">
        <v>23</v>
      </c>
      <c r="H2064" s="17">
        <v>0</v>
      </c>
      <c r="I2064" s="28"/>
      <c r="J2064" s="28"/>
      <c r="K2064" s="22"/>
    </row>
    <row r="2065" spans="1:11" s="4" customFormat="1" x14ac:dyDescent="0.25">
      <c r="A2065" s="32"/>
      <c r="B2065" s="21"/>
      <c r="C2065" s="12" t="s">
        <v>24</v>
      </c>
      <c r="D2065" s="17">
        <v>1441.8</v>
      </c>
      <c r="E2065" s="12" t="s">
        <v>24</v>
      </c>
      <c r="F2065" s="17">
        <v>1000</v>
      </c>
      <c r="G2065" s="12" t="s">
        <v>24</v>
      </c>
      <c r="H2065" s="17">
        <v>1520.5</v>
      </c>
      <c r="I2065" s="28"/>
      <c r="J2065" s="28"/>
      <c r="K2065" s="22"/>
    </row>
    <row r="2066" spans="1:11" s="4" customFormat="1" x14ac:dyDescent="0.25">
      <c r="A2066" s="32"/>
      <c r="B2066" s="21"/>
      <c r="C2066" s="12" t="s">
        <v>25</v>
      </c>
      <c r="D2066" s="17">
        <v>0</v>
      </c>
      <c r="E2066" s="12" t="s">
        <v>25</v>
      </c>
      <c r="F2066" s="17">
        <v>0</v>
      </c>
      <c r="G2066" s="12" t="s">
        <v>25</v>
      </c>
      <c r="H2066" s="17">
        <v>0</v>
      </c>
      <c r="I2066" s="29"/>
      <c r="J2066" s="28"/>
      <c r="K2066" s="22"/>
    </row>
    <row r="2067" spans="1:11" s="4" customFormat="1" x14ac:dyDescent="0.25">
      <c r="A2067" s="32" t="s">
        <v>678</v>
      </c>
      <c r="B2067" s="21" t="s">
        <v>679</v>
      </c>
      <c r="C2067" s="9" t="s">
        <v>28</v>
      </c>
      <c r="D2067" s="17">
        <f>D2069+D2070+D2071+D2072</f>
        <v>319.10000000000002</v>
      </c>
      <c r="E2067" s="9" t="s">
        <v>28</v>
      </c>
      <c r="F2067" s="17">
        <f>F2069+F2070+F2071+F2072</f>
        <v>410.6</v>
      </c>
      <c r="G2067" s="9" t="s">
        <v>28</v>
      </c>
      <c r="H2067" s="17">
        <f>H2069+H2070+H2071+H2072</f>
        <v>587.9</v>
      </c>
      <c r="I2067" s="27" t="s">
        <v>18</v>
      </c>
      <c r="J2067" s="28"/>
      <c r="K2067" s="22" t="s">
        <v>214</v>
      </c>
    </row>
    <row r="2068" spans="1:11" s="4" customFormat="1" x14ac:dyDescent="0.25">
      <c r="A2068" s="32"/>
      <c r="B2068" s="21"/>
      <c r="C2068" s="9" t="s">
        <v>21</v>
      </c>
      <c r="D2068" s="17"/>
      <c r="E2068" s="9" t="s">
        <v>21</v>
      </c>
      <c r="F2068" s="17"/>
      <c r="G2068" s="9" t="s">
        <v>21</v>
      </c>
      <c r="H2068" s="17"/>
      <c r="I2068" s="28"/>
      <c r="J2068" s="28"/>
      <c r="K2068" s="22"/>
    </row>
    <row r="2069" spans="1:11" s="4" customFormat="1" x14ac:dyDescent="0.25">
      <c r="A2069" s="32"/>
      <c r="B2069" s="21"/>
      <c r="C2069" s="12" t="s">
        <v>22</v>
      </c>
      <c r="D2069" s="17">
        <v>0</v>
      </c>
      <c r="E2069" s="12" t="s">
        <v>22</v>
      </c>
      <c r="F2069" s="17">
        <v>0</v>
      </c>
      <c r="G2069" s="12" t="s">
        <v>22</v>
      </c>
      <c r="H2069" s="17">
        <v>0</v>
      </c>
      <c r="I2069" s="28"/>
      <c r="J2069" s="28"/>
      <c r="K2069" s="22"/>
    </row>
    <row r="2070" spans="1:11" s="4" customFormat="1" x14ac:dyDescent="0.25">
      <c r="A2070" s="32"/>
      <c r="B2070" s="21"/>
      <c r="C2070" s="12" t="s">
        <v>23</v>
      </c>
      <c r="D2070" s="17">
        <v>0</v>
      </c>
      <c r="E2070" s="12" t="s">
        <v>23</v>
      </c>
      <c r="F2070" s="17">
        <v>0</v>
      </c>
      <c r="G2070" s="12" t="s">
        <v>23</v>
      </c>
      <c r="H2070" s="17">
        <v>0</v>
      </c>
      <c r="I2070" s="28"/>
      <c r="J2070" s="28"/>
      <c r="K2070" s="22"/>
    </row>
    <row r="2071" spans="1:11" s="4" customFormat="1" x14ac:dyDescent="0.25">
      <c r="A2071" s="32"/>
      <c r="B2071" s="21"/>
      <c r="C2071" s="12" t="s">
        <v>24</v>
      </c>
      <c r="D2071" s="17">
        <v>319.10000000000002</v>
      </c>
      <c r="E2071" s="12" t="s">
        <v>24</v>
      </c>
      <c r="F2071" s="17">
        <v>410.6</v>
      </c>
      <c r="G2071" s="12" t="s">
        <v>24</v>
      </c>
      <c r="H2071" s="17">
        <v>587.9</v>
      </c>
      <c r="I2071" s="28"/>
      <c r="J2071" s="28"/>
      <c r="K2071" s="22"/>
    </row>
    <row r="2072" spans="1:11" s="4" customFormat="1" x14ac:dyDescent="0.25">
      <c r="A2072" s="32"/>
      <c r="B2072" s="21"/>
      <c r="C2072" s="12" t="s">
        <v>25</v>
      </c>
      <c r="D2072" s="17">
        <v>0</v>
      </c>
      <c r="E2072" s="12" t="s">
        <v>25</v>
      </c>
      <c r="F2072" s="17">
        <v>0</v>
      </c>
      <c r="G2072" s="12" t="s">
        <v>25</v>
      </c>
      <c r="H2072" s="17">
        <v>0</v>
      </c>
      <c r="I2072" s="29"/>
      <c r="J2072" s="28"/>
      <c r="K2072" s="22"/>
    </row>
    <row r="2073" spans="1:11" s="4" customFormat="1" x14ac:dyDescent="0.25">
      <c r="A2073" s="32" t="s">
        <v>680</v>
      </c>
      <c r="B2073" s="21" t="s">
        <v>681</v>
      </c>
      <c r="C2073" s="9" t="s">
        <v>28</v>
      </c>
      <c r="D2073" s="17">
        <f>D2075+D2076+D2077+D2078</f>
        <v>1428.78</v>
      </c>
      <c r="E2073" s="9" t="s">
        <v>28</v>
      </c>
      <c r="F2073" s="17">
        <f>F2075+F2076+F2077+F2078</f>
        <v>0</v>
      </c>
      <c r="G2073" s="9" t="s">
        <v>28</v>
      </c>
      <c r="H2073" s="17">
        <f>H2075+H2076+H2077+H2078</f>
        <v>0</v>
      </c>
      <c r="I2073" s="27" t="s">
        <v>18</v>
      </c>
      <c r="J2073" s="28"/>
      <c r="K2073" s="22" t="s">
        <v>214</v>
      </c>
    </row>
    <row r="2074" spans="1:11" s="4" customFormat="1" x14ac:dyDescent="0.25">
      <c r="A2074" s="32"/>
      <c r="B2074" s="21"/>
      <c r="C2074" s="9" t="s">
        <v>21</v>
      </c>
      <c r="D2074" s="17"/>
      <c r="E2074" s="9" t="s">
        <v>21</v>
      </c>
      <c r="F2074" s="17"/>
      <c r="G2074" s="9" t="s">
        <v>21</v>
      </c>
      <c r="H2074" s="17"/>
      <c r="I2074" s="28"/>
      <c r="J2074" s="28"/>
      <c r="K2074" s="22"/>
    </row>
    <row r="2075" spans="1:11" s="4" customFormat="1" x14ac:dyDescent="0.25">
      <c r="A2075" s="32"/>
      <c r="B2075" s="21"/>
      <c r="C2075" s="12" t="s">
        <v>22</v>
      </c>
      <c r="D2075" s="17">
        <f>D2081+D2087+D2093+D2099+D2105</f>
        <v>0</v>
      </c>
      <c r="E2075" s="12" t="s">
        <v>22</v>
      </c>
      <c r="F2075" s="17">
        <f>F2081+F2087+F2093+F2099+F2105</f>
        <v>0</v>
      </c>
      <c r="G2075" s="12" t="s">
        <v>22</v>
      </c>
      <c r="H2075" s="17">
        <f>H2081+H2087+H2093+H2099+H2105</f>
        <v>0</v>
      </c>
      <c r="I2075" s="28"/>
      <c r="J2075" s="28"/>
      <c r="K2075" s="22"/>
    </row>
    <row r="2076" spans="1:11" s="4" customFormat="1" x14ac:dyDescent="0.25">
      <c r="A2076" s="32"/>
      <c r="B2076" s="21"/>
      <c r="C2076" s="12" t="s">
        <v>23</v>
      </c>
      <c r="D2076" s="17">
        <f t="shared" ref="D2076:F2078" si="111">D2082+D2088+D2094+D2100+D2106</f>
        <v>0</v>
      </c>
      <c r="E2076" s="12" t="s">
        <v>23</v>
      </c>
      <c r="F2076" s="17">
        <f t="shared" si="111"/>
        <v>0</v>
      </c>
      <c r="G2076" s="12" t="s">
        <v>23</v>
      </c>
      <c r="H2076" s="17">
        <f t="shared" ref="H2076:H2078" si="112">H2082+H2088+H2094+H2100+H2106</f>
        <v>0</v>
      </c>
      <c r="I2076" s="28"/>
      <c r="J2076" s="28"/>
      <c r="K2076" s="22"/>
    </row>
    <row r="2077" spans="1:11" s="4" customFormat="1" x14ac:dyDescent="0.25">
      <c r="A2077" s="32"/>
      <c r="B2077" s="21"/>
      <c r="C2077" s="12" t="s">
        <v>24</v>
      </c>
      <c r="D2077" s="17">
        <f>D2083+D2089+D2095+D2101+D2107-0.01</f>
        <v>1428.78</v>
      </c>
      <c r="E2077" s="12" t="s">
        <v>24</v>
      </c>
      <c r="F2077" s="17">
        <f t="shared" si="111"/>
        <v>0</v>
      </c>
      <c r="G2077" s="12" t="s">
        <v>24</v>
      </c>
      <c r="H2077" s="17">
        <f t="shared" si="112"/>
        <v>0</v>
      </c>
      <c r="I2077" s="28"/>
      <c r="J2077" s="28"/>
      <c r="K2077" s="22"/>
    </row>
    <row r="2078" spans="1:11" s="4" customFormat="1" x14ac:dyDescent="0.25">
      <c r="A2078" s="32"/>
      <c r="B2078" s="21"/>
      <c r="C2078" s="12" t="s">
        <v>25</v>
      </c>
      <c r="D2078" s="17">
        <f t="shared" si="111"/>
        <v>0</v>
      </c>
      <c r="E2078" s="12" t="s">
        <v>25</v>
      </c>
      <c r="F2078" s="17">
        <f t="shared" si="111"/>
        <v>0</v>
      </c>
      <c r="G2078" s="12" t="s">
        <v>25</v>
      </c>
      <c r="H2078" s="17">
        <f t="shared" si="112"/>
        <v>0</v>
      </c>
      <c r="I2078" s="29"/>
      <c r="J2078" s="28"/>
      <c r="K2078" s="22"/>
    </row>
    <row r="2079" spans="1:11" s="4" customFormat="1" x14ac:dyDescent="0.25">
      <c r="A2079" s="32" t="s">
        <v>682</v>
      </c>
      <c r="B2079" s="36" t="s">
        <v>683</v>
      </c>
      <c r="C2079" s="9" t="s">
        <v>28</v>
      </c>
      <c r="D2079" s="17">
        <f>D2081+D2082+D2083+D2084</f>
        <v>293</v>
      </c>
      <c r="E2079" s="9" t="s">
        <v>28</v>
      </c>
      <c r="F2079" s="17">
        <f>F2081+F2082+F2083+F2084</f>
        <v>0</v>
      </c>
      <c r="G2079" s="9" t="s">
        <v>28</v>
      </c>
      <c r="H2079" s="17">
        <f>H2081+H2082+H2083+H2084</f>
        <v>0</v>
      </c>
      <c r="I2079" s="27" t="s">
        <v>18</v>
      </c>
      <c r="J2079" s="28"/>
      <c r="K2079" s="22" t="s">
        <v>214</v>
      </c>
    </row>
    <row r="2080" spans="1:11" s="4" customFormat="1" x14ac:dyDescent="0.25">
      <c r="A2080" s="32"/>
      <c r="B2080" s="37"/>
      <c r="C2080" s="9" t="s">
        <v>21</v>
      </c>
      <c r="D2080" s="17"/>
      <c r="E2080" s="9" t="s">
        <v>21</v>
      </c>
      <c r="F2080" s="17"/>
      <c r="G2080" s="9" t="s">
        <v>21</v>
      </c>
      <c r="H2080" s="17"/>
      <c r="I2080" s="28"/>
      <c r="J2080" s="28"/>
      <c r="K2080" s="22"/>
    </row>
    <row r="2081" spans="1:11" s="4" customFormat="1" x14ac:dyDescent="0.25">
      <c r="A2081" s="32"/>
      <c r="B2081" s="37"/>
      <c r="C2081" s="12" t="s">
        <v>22</v>
      </c>
      <c r="D2081" s="17">
        <v>0</v>
      </c>
      <c r="E2081" s="12" t="s">
        <v>22</v>
      </c>
      <c r="F2081" s="17">
        <v>0</v>
      </c>
      <c r="G2081" s="12" t="s">
        <v>22</v>
      </c>
      <c r="H2081" s="17">
        <v>0</v>
      </c>
      <c r="I2081" s="28"/>
      <c r="J2081" s="28"/>
      <c r="K2081" s="22"/>
    </row>
    <row r="2082" spans="1:11" s="4" customFormat="1" x14ac:dyDescent="0.25">
      <c r="A2082" s="32"/>
      <c r="B2082" s="37"/>
      <c r="C2082" s="12" t="s">
        <v>23</v>
      </c>
      <c r="D2082" s="17">
        <v>0</v>
      </c>
      <c r="E2082" s="12" t="s">
        <v>23</v>
      </c>
      <c r="F2082" s="17">
        <v>0</v>
      </c>
      <c r="G2082" s="12" t="s">
        <v>23</v>
      </c>
      <c r="H2082" s="17">
        <v>0</v>
      </c>
      <c r="I2082" s="28"/>
      <c r="J2082" s="28"/>
      <c r="K2082" s="22"/>
    </row>
    <row r="2083" spans="1:11" s="4" customFormat="1" x14ac:dyDescent="0.25">
      <c r="A2083" s="32"/>
      <c r="B2083" s="37"/>
      <c r="C2083" s="12" t="s">
        <v>24</v>
      </c>
      <c r="D2083" s="17">
        <v>293</v>
      </c>
      <c r="E2083" s="12" t="s">
        <v>24</v>
      </c>
      <c r="F2083" s="17">
        <v>0</v>
      </c>
      <c r="G2083" s="12" t="s">
        <v>24</v>
      </c>
      <c r="H2083" s="17">
        <v>0</v>
      </c>
      <c r="I2083" s="28"/>
      <c r="J2083" s="28"/>
      <c r="K2083" s="22"/>
    </row>
    <row r="2084" spans="1:11" s="4" customFormat="1" x14ac:dyDescent="0.25">
      <c r="A2084" s="32"/>
      <c r="B2084" s="38"/>
      <c r="C2084" s="12" t="s">
        <v>25</v>
      </c>
      <c r="D2084" s="17">
        <v>0</v>
      </c>
      <c r="E2084" s="12" t="s">
        <v>25</v>
      </c>
      <c r="F2084" s="17">
        <v>0</v>
      </c>
      <c r="G2084" s="12" t="s">
        <v>25</v>
      </c>
      <c r="H2084" s="17">
        <v>0</v>
      </c>
      <c r="I2084" s="29"/>
      <c r="J2084" s="28"/>
      <c r="K2084" s="22"/>
    </row>
    <row r="2085" spans="1:11" s="4" customFormat="1" x14ac:dyDescent="0.25">
      <c r="A2085" s="32" t="s">
        <v>684</v>
      </c>
      <c r="B2085" s="36" t="s">
        <v>685</v>
      </c>
      <c r="C2085" s="9" t="s">
        <v>28</v>
      </c>
      <c r="D2085" s="17">
        <f>D2087+D2088+D2089+D2090</f>
        <v>132.51</v>
      </c>
      <c r="E2085" s="9" t="s">
        <v>28</v>
      </c>
      <c r="F2085" s="17">
        <f>F2087+F2088+F2089+F2090</f>
        <v>0</v>
      </c>
      <c r="G2085" s="9" t="s">
        <v>28</v>
      </c>
      <c r="H2085" s="17">
        <f>H2087+H2088+H2089+H2090</f>
        <v>0</v>
      </c>
      <c r="I2085" s="27" t="s">
        <v>18</v>
      </c>
      <c r="J2085" s="28"/>
      <c r="K2085" s="22" t="s">
        <v>214</v>
      </c>
    </row>
    <row r="2086" spans="1:11" s="4" customFormat="1" x14ac:dyDescent="0.25">
      <c r="A2086" s="32"/>
      <c r="B2086" s="37"/>
      <c r="C2086" s="9" t="s">
        <v>21</v>
      </c>
      <c r="D2086" s="17"/>
      <c r="E2086" s="9" t="s">
        <v>21</v>
      </c>
      <c r="F2086" s="17"/>
      <c r="G2086" s="9" t="s">
        <v>21</v>
      </c>
      <c r="H2086" s="17"/>
      <c r="I2086" s="28"/>
      <c r="J2086" s="28"/>
      <c r="K2086" s="22"/>
    </row>
    <row r="2087" spans="1:11" s="4" customFormat="1" x14ac:dyDescent="0.25">
      <c r="A2087" s="32"/>
      <c r="B2087" s="37"/>
      <c r="C2087" s="12" t="s">
        <v>22</v>
      </c>
      <c r="D2087" s="17">
        <v>0</v>
      </c>
      <c r="E2087" s="12" t="s">
        <v>22</v>
      </c>
      <c r="F2087" s="17">
        <v>0</v>
      </c>
      <c r="G2087" s="12" t="s">
        <v>22</v>
      </c>
      <c r="H2087" s="17">
        <v>0</v>
      </c>
      <c r="I2087" s="28"/>
      <c r="J2087" s="28"/>
      <c r="K2087" s="22"/>
    </row>
    <row r="2088" spans="1:11" s="4" customFormat="1" x14ac:dyDescent="0.25">
      <c r="A2088" s="32"/>
      <c r="B2088" s="37"/>
      <c r="C2088" s="12" t="s">
        <v>23</v>
      </c>
      <c r="D2088" s="17">
        <v>0</v>
      </c>
      <c r="E2088" s="12" t="s">
        <v>23</v>
      </c>
      <c r="F2088" s="17">
        <v>0</v>
      </c>
      <c r="G2088" s="12" t="s">
        <v>23</v>
      </c>
      <c r="H2088" s="17">
        <v>0</v>
      </c>
      <c r="I2088" s="28"/>
      <c r="J2088" s="28"/>
      <c r="K2088" s="22"/>
    </row>
    <row r="2089" spans="1:11" s="4" customFormat="1" x14ac:dyDescent="0.25">
      <c r="A2089" s="32"/>
      <c r="B2089" s="37"/>
      <c r="C2089" s="12" t="s">
        <v>24</v>
      </c>
      <c r="D2089" s="17">
        <v>132.51</v>
      </c>
      <c r="E2089" s="12" t="s">
        <v>24</v>
      </c>
      <c r="F2089" s="17">
        <v>0</v>
      </c>
      <c r="G2089" s="12" t="s">
        <v>24</v>
      </c>
      <c r="H2089" s="17">
        <v>0</v>
      </c>
      <c r="I2089" s="28"/>
      <c r="J2089" s="28"/>
      <c r="K2089" s="22"/>
    </row>
    <row r="2090" spans="1:11" s="4" customFormat="1" x14ac:dyDescent="0.25">
      <c r="A2090" s="32"/>
      <c r="B2090" s="38"/>
      <c r="C2090" s="12" t="s">
        <v>25</v>
      </c>
      <c r="D2090" s="17">
        <v>0</v>
      </c>
      <c r="E2090" s="12" t="s">
        <v>25</v>
      </c>
      <c r="F2090" s="17">
        <v>0</v>
      </c>
      <c r="G2090" s="12" t="s">
        <v>25</v>
      </c>
      <c r="H2090" s="17">
        <v>0</v>
      </c>
      <c r="I2090" s="29"/>
      <c r="J2090" s="28"/>
      <c r="K2090" s="22"/>
    </row>
    <row r="2091" spans="1:11" s="4" customFormat="1" x14ac:dyDescent="0.25">
      <c r="A2091" s="32" t="s">
        <v>686</v>
      </c>
      <c r="B2091" s="36" t="s">
        <v>687</v>
      </c>
      <c r="C2091" s="9" t="s">
        <v>28</v>
      </c>
      <c r="D2091" s="17">
        <f>D2093+D2094+D2095+D2096</f>
        <v>334.8</v>
      </c>
      <c r="E2091" s="9" t="s">
        <v>28</v>
      </c>
      <c r="F2091" s="17">
        <f>F2093+F2094+F2095+F2096</f>
        <v>0</v>
      </c>
      <c r="G2091" s="9" t="s">
        <v>28</v>
      </c>
      <c r="H2091" s="17">
        <f>H2093+H2094+H2095+H2096</f>
        <v>0</v>
      </c>
      <c r="I2091" s="27" t="s">
        <v>18</v>
      </c>
      <c r="J2091" s="28"/>
      <c r="K2091" s="22" t="s">
        <v>214</v>
      </c>
    </row>
    <row r="2092" spans="1:11" s="4" customFormat="1" x14ac:dyDescent="0.25">
      <c r="A2092" s="32"/>
      <c r="B2092" s="37"/>
      <c r="C2092" s="9" t="s">
        <v>21</v>
      </c>
      <c r="D2092" s="17"/>
      <c r="E2092" s="9" t="s">
        <v>21</v>
      </c>
      <c r="F2092" s="17"/>
      <c r="G2092" s="9" t="s">
        <v>21</v>
      </c>
      <c r="H2092" s="17"/>
      <c r="I2092" s="28"/>
      <c r="J2092" s="28"/>
      <c r="K2092" s="22"/>
    </row>
    <row r="2093" spans="1:11" s="4" customFormat="1" x14ac:dyDescent="0.25">
      <c r="A2093" s="32"/>
      <c r="B2093" s="37"/>
      <c r="C2093" s="12" t="s">
        <v>22</v>
      </c>
      <c r="D2093" s="17">
        <v>0</v>
      </c>
      <c r="E2093" s="12" t="s">
        <v>22</v>
      </c>
      <c r="F2093" s="17">
        <v>0</v>
      </c>
      <c r="G2093" s="12" t="s">
        <v>22</v>
      </c>
      <c r="H2093" s="17">
        <v>0</v>
      </c>
      <c r="I2093" s="28"/>
      <c r="J2093" s="28"/>
      <c r="K2093" s="22"/>
    </row>
    <row r="2094" spans="1:11" s="4" customFormat="1" x14ac:dyDescent="0.25">
      <c r="A2094" s="32"/>
      <c r="B2094" s="37"/>
      <c r="C2094" s="12" t="s">
        <v>23</v>
      </c>
      <c r="D2094" s="17">
        <v>0</v>
      </c>
      <c r="E2094" s="12" t="s">
        <v>23</v>
      </c>
      <c r="F2094" s="17">
        <v>0</v>
      </c>
      <c r="G2094" s="12" t="s">
        <v>23</v>
      </c>
      <c r="H2094" s="17">
        <v>0</v>
      </c>
      <c r="I2094" s="28"/>
      <c r="J2094" s="28"/>
      <c r="K2094" s="22"/>
    </row>
    <row r="2095" spans="1:11" s="4" customFormat="1" x14ac:dyDescent="0.25">
      <c r="A2095" s="32"/>
      <c r="B2095" s="37"/>
      <c r="C2095" s="12" t="s">
        <v>24</v>
      </c>
      <c r="D2095" s="17">
        <v>334.8</v>
      </c>
      <c r="E2095" s="12" t="s">
        <v>24</v>
      </c>
      <c r="F2095" s="17">
        <v>0</v>
      </c>
      <c r="G2095" s="12" t="s">
        <v>24</v>
      </c>
      <c r="H2095" s="17">
        <v>0</v>
      </c>
      <c r="I2095" s="28"/>
      <c r="J2095" s="28"/>
      <c r="K2095" s="22"/>
    </row>
    <row r="2096" spans="1:11" s="4" customFormat="1" x14ac:dyDescent="0.25">
      <c r="A2096" s="32"/>
      <c r="B2096" s="38"/>
      <c r="C2096" s="12" t="s">
        <v>25</v>
      </c>
      <c r="D2096" s="17">
        <v>0</v>
      </c>
      <c r="E2096" s="12" t="s">
        <v>25</v>
      </c>
      <c r="F2096" s="17">
        <v>0</v>
      </c>
      <c r="G2096" s="12" t="s">
        <v>25</v>
      </c>
      <c r="H2096" s="17">
        <v>0</v>
      </c>
      <c r="I2096" s="29"/>
      <c r="J2096" s="28"/>
      <c r="K2096" s="22"/>
    </row>
    <row r="2097" spans="1:11" s="4" customFormat="1" x14ac:dyDescent="0.25">
      <c r="A2097" s="32" t="s">
        <v>688</v>
      </c>
      <c r="B2097" s="36" t="s">
        <v>689</v>
      </c>
      <c r="C2097" s="9" t="s">
        <v>28</v>
      </c>
      <c r="D2097" s="17">
        <f>D2099+D2100+D2101+D2102</f>
        <v>443</v>
      </c>
      <c r="E2097" s="9" t="s">
        <v>28</v>
      </c>
      <c r="F2097" s="17">
        <f>F2099+F2100+F2101+F2102</f>
        <v>0</v>
      </c>
      <c r="G2097" s="9" t="s">
        <v>28</v>
      </c>
      <c r="H2097" s="17">
        <f>H2099+H2100+H2101+H2102</f>
        <v>0</v>
      </c>
      <c r="I2097" s="27" t="s">
        <v>18</v>
      </c>
      <c r="J2097" s="28"/>
      <c r="K2097" s="22" t="s">
        <v>214</v>
      </c>
    </row>
    <row r="2098" spans="1:11" s="4" customFormat="1" x14ac:dyDescent="0.25">
      <c r="A2098" s="32"/>
      <c r="B2098" s="37"/>
      <c r="C2098" s="9" t="s">
        <v>21</v>
      </c>
      <c r="D2098" s="17"/>
      <c r="E2098" s="9" t="s">
        <v>21</v>
      </c>
      <c r="F2098" s="17"/>
      <c r="G2098" s="9" t="s">
        <v>21</v>
      </c>
      <c r="H2098" s="17"/>
      <c r="I2098" s="28"/>
      <c r="J2098" s="28"/>
      <c r="K2098" s="22"/>
    </row>
    <row r="2099" spans="1:11" s="4" customFormat="1" x14ac:dyDescent="0.25">
      <c r="A2099" s="32"/>
      <c r="B2099" s="37"/>
      <c r="C2099" s="12" t="s">
        <v>22</v>
      </c>
      <c r="D2099" s="17">
        <v>0</v>
      </c>
      <c r="E2099" s="12" t="s">
        <v>22</v>
      </c>
      <c r="F2099" s="17">
        <v>0</v>
      </c>
      <c r="G2099" s="12" t="s">
        <v>22</v>
      </c>
      <c r="H2099" s="17">
        <v>0</v>
      </c>
      <c r="I2099" s="28"/>
      <c r="J2099" s="28"/>
      <c r="K2099" s="22"/>
    </row>
    <row r="2100" spans="1:11" s="4" customFormat="1" x14ac:dyDescent="0.25">
      <c r="A2100" s="32"/>
      <c r="B2100" s="37"/>
      <c r="C2100" s="12" t="s">
        <v>23</v>
      </c>
      <c r="D2100" s="17">
        <v>0</v>
      </c>
      <c r="E2100" s="12" t="s">
        <v>23</v>
      </c>
      <c r="F2100" s="17">
        <v>0</v>
      </c>
      <c r="G2100" s="12" t="s">
        <v>23</v>
      </c>
      <c r="H2100" s="17">
        <v>0</v>
      </c>
      <c r="I2100" s="28"/>
      <c r="J2100" s="28"/>
      <c r="K2100" s="22"/>
    </row>
    <row r="2101" spans="1:11" s="4" customFormat="1" x14ac:dyDescent="0.25">
      <c r="A2101" s="32"/>
      <c r="B2101" s="37"/>
      <c r="C2101" s="12" t="s">
        <v>24</v>
      </c>
      <c r="D2101" s="17">
        <v>443</v>
      </c>
      <c r="E2101" s="12" t="s">
        <v>24</v>
      </c>
      <c r="F2101" s="17">
        <v>0</v>
      </c>
      <c r="G2101" s="12" t="s">
        <v>24</v>
      </c>
      <c r="H2101" s="17">
        <v>0</v>
      </c>
      <c r="I2101" s="28"/>
      <c r="J2101" s="28"/>
      <c r="K2101" s="22"/>
    </row>
    <row r="2102" spans="1:11" s="4" customFormat="1" x14ac:dyDescent="0.25">
      <c r="A2102" s="32"/>
      <c r="B2102" s="38"/>
      <c r="C2102" s="12" t="s">
        <v>25</v>
      </c>
      <c r="D2102" s="17">
        <v>0</v>
      </c>
      <c r="E2102" s="12" t="s">
        <v>25</v>
      </c>
      <c r="F2102" s="17">
        <v>0</v>
      </c>
      <c r="G2102" s="12" t="s">
        <v>25</v>
      </c>
      <c r="H2102" s="17">
        <v>0</v>
      </c>
      <c r="I2102" s="29"/>
      <c r="J2102" s="28"/>
      <c r="K2102" s="22"/>
    </row>
    <row r="2103" spans="1:11" s="4" customFormat="1" x14ac:dyDescent="0.25">
      <c r="A2103" s="32" t="s">
        <v>690</v>
      </c>
      <c r="B2103" s="36" t="s">
        <v>691</v>
      </c>
      <c r="C2103" s="9" t="s">
        <v>28</v>
      </c>
      <c r="D2103" s="17">
        <f>D2105+D2106+D2107+D2108</f>
        <v>225.48</v>
      </c>
      <c r="E2103" s="9" t="s">
        <v>28</v>
      </c>
      <c r="F2103" s="17">
        <f>F2105+F2106+F2107+F2108</f>
        <v>0</v>
      </c>
      <c r="G2103" s="9" t="s">
        <v>28</v>
      </c>
      <c r="H2103" s="17">
        <f>H2105+H2106+H2107+H2108</f>
        <v>0</v>
      </c>
      <c r="I2103" s="27" t="s">
        <v>18</v>
      </c>
      <c r="J2103" s="28"/>
      <c r="K2103" s="22" t="s">
        <v>214</v>
      </c>
    </row>
    <row r="2104" spans="1:11" s="4" customFormat="1" x14ac:dyDescent="0.25">
      <c r="A2104" s="32"/>
      <c r="B2104" s="37"/>
      <c r="C2104" s="9" t="s">
        <v>21</v>
      </c>
      <c r="D2104" s="17"/>
      <c r="E2104" s="9" t="s">
        <v>21</v>
      </c>
      <c r="F2104" s="17"/>
      <c r="G2104" s="9" t="s">
        <v>21</v>
      </c>
      <c r="H2104" s="17"/>
      <c r="I2104" s="28"/>
      <c r="J2104" s="28"/>
      <c r="K2104" s="22"/>
    </row>
    <row r="2105" spans="1:11" s="4" customFormat="1" x14ac:dyDescent="0.25">
      <c r="A2105" s="32"/>
      <c r="B2105" s="37"/>
      <c r="C2105" s="12" t="s">
        <v>22</v>
      </c>
      <c r="D2105" s="17">
        <v>0</v>
      </c>
      <c r="E2105" s="12" t="s">
        <v>22</v>
      </c>
      <c r="F2105" s="17">
        <v>0</v>
      </c>
      <c r="G2105" s="12" t="s">
        <v>22</v>
      </c>
      <c r="H2105" s="17">
        <v>0</v>
      </c>
      <c r="I2105" s="28"/>
      <c r="J2105" s="28"/>
      <c r="K2105" s="22"/>
    </row>
    <row r="2106" spans="1:11" s="4" customFormat="1" x14ac:dyDescent="0.25">
      <c r="A2106" s="32"/>
      <c r="B2106" s="37"/>
      <c r="C2106" s="12" t="s">
        <v>23</v>
      </c>
      <c r="D2106" s="17">
        <v>0</v>
      </c>
      <c r="E2106" s="12" t="s">
        <v>23</v>
      </c>
      <c r="F2106" s="17">
        <v>0</v>
      </c>
      <c r="G2106" s="12" t="s">
        <v>23</v>
      </c>
      <c r="H2106" s="17">
        <v>0</v>
      </c>
      <c r="I2106" s="28"/>
      <c r="J2106" s="28"/>
      <c r="K2106" s="22"/>
    </row>
    <row r="2107" spans="1:11" s="4" customFormat="1" x14ac:dyDescent="0.25">
      <c r="A2107" s="32"/>
      <c r="B2107" s="37"/>
      <c r="C2107" s="12" t="s">
        <v>24</v>
      </c>
      <c r="D2107" s="17">
        <v>225.48</v>
      </c>
      <c r="E2107" s="12" t="s">
        <v>24</v>
      </c>
      <c r="F2107" s="17">
        <v>0</v>
      </c>
      <c r="G2107" s="12" t="s">
        <v>24</v>
      </c>
      <c r="H2107" s="17">
        <v>0</v>
      </c>
      <c r="I2107" s="28"/>
      <c r="J2107" s="28"/>
      <c r="K2107" s="22"/>
    </row>
    <row r="2108" spans="1:11" s="4" customFormat="1" x14ac:dyDescent="0.25">
      <c r="A2108" s="32"/>
      <c r="B2108" s="38"/>
      <c r="C2108" s="12" t="s">
        <v>25</v>
      </c>
      <c r="D2108" s="17">
        <v>0</v>
      </c>
      <c r="E2108" s="12" t="s">
        <v>25</v>
      </c>
      <c r="F2108" s="17">
        <v>0</v>
      </c>
      <c r="G2108" s="12" t="s">
        <v>25</v>
      </c>
      <c r="H2108" s="17">
        <v>0</v>
      </c>
      <c r="I2108" s="29"/>
      <c r="J2108" s="29"/>
      <c r="K2108" s="22"/>
    </row>
    <row r="2109" spans="1:11" s="4" customFormat="1" x14ac:dyDescent="0.25">
      <c r="A2109" s="24" t="s">
        <v>692</v>
      </c>
      <c r="B2109" s="25" t="s">
        <v>693</v>
      </c>
      <c r="C2109" s="13" t="s">
        <v>28</v>
      </c>
      <c r="D2109" s="14">
        <f>D2111+D2112+D2113+D2114</f>
        <v>37994.350000000006</v>
      </c>
      <c r="E2109" s="13" t="s">
        <v>28</v>
      </c>
      <c r="F2109" s="14">
        <f>F2111+F2112+F2113+F2114</f>
        <v>42013.75</v>
      </c>
      <c r="G2109" s="13" t="s">
        <v>28</v>
      </c>
      <c r="H2109" s="14">
        <f>H2111+H2112+H2113+H2114</f>
        <v>43051.7</v>
      </c>
      <c r="I2109" s="33" t="s">
        <v>18</v>
      </c>
      <c r="J2109" s="27" t="s">
        <v>694</v>
      </c>
      <c r="K2109" s="22" t="s">
        <v>695</v>
      </c>
    </row>
    <row r="2110" spans="1:11" s="4" customFormat="1" x14ac:dyDescent="0.25">
      <c r="A2110" s="24"/>
      <c r="B2110" s="25"/>
      <c r="C2110" s="13" t="s">
        <v>21</v>
      </c>
      <c r="D2110" s="14"/>
      <c r="E2110" s="13" t="s">
        <v>21</v>
      </c>
      <c r="F2110" s="14"/>
      <c r="G2110" s="13" t="s">
        <v>21</v>
      </c>
      <c r="H2110" s="14"/>
      <c r="I2110" s="34"/>
      <c r="J2110" s="28"/>
      <c r="K2110" s="22"/>
    </row>
    <row r="2111" spans="1:11" s="4" customFormat="1" x14ac:dyDescent="0.25">
      <c r="A2111" s="24"/>
      <c r="B2111" s="25"/>
      <c r="C2111" s="16" t="s">
        <v>22</v>
      </c>
      <c r="D2111" s="14">
        <f>D2117</f>
        <v>0</v>
      </c>
      <c r="E2111" s="16" t="s">
        <v>22</v>
      </c>
      <c r="F2111" s="14">
        <f>F2117</f>
        <v>0</v>
      </c>
      <c r="G2111" s="16" t="s">
        <v>22</v>
      </c>
      <c r="H2111" s="14">
        <f>H2117</f>
        <v>0</v>
      </c>
      <c r="I2111" s="34"/>
      <c r="J2111" s="28"/>
      <c r="K2111" s="22"/>
    </row>
    <row r="2112" spans="1:11" s="4" customFormat="1" x14ac:dyDescent="0.25">
      <c r="A2112" s="24"/>
      <c r="B2112" s="25"/>
      <c r="C2112" s="16" t="s">
        <v>23</v>
      </c>
      <c r="D2112" s="14">
        <f t="shared" ref="D2112:D2114" si="113">D2118</f>
        <v>14526.05</v>
      </c>
      <c r="E2112" s="16" t="s">
        <v>23</v>
      </c>
      <c r="F2112" s="14">
        <f t="shared" ref="F2112:H2114" si="114">F2118</f>
        <v>12696.7</v>
      </c>
      <c r="G2112" s="16" t="s">
        <v>23</v>
      </c>
      <c r="H2112" s="14">
        <f t="shared" si="114"/>
        <v>12696.7</v>
      </c>
      <c r="I2112" s="34"/>
      <c r="J2112" s="28"/>
      <c r="K2112" s="22"/>
    </row>
    <row r="2113" spans="1:11" s="4" customFormat="1" x14ac:dyDescent="0.25">
      <c r="A2113" s="24"/>
      <c r="B2113" s="25"/>
      <c r="C2113" s="16" t="s">
        <v>24</v>
      </c>
      <c r="D2113" s="14">
        <f t="shared" si="113"/>
        <v>23468.300000000003</v>
      </c>
      <c r="E2113" s="16" t="s">
        <v>24</v>
      </c>
      <c r="F2113" s="14">
        <f t="shared" si="114"/>
        <v>29317.05</v>
      </c>
      <c r="G2113" s="16" t="s">
        <v>24</v>
      </c>
      <c r="H2113" s="14">
        <f t="shared" si="114"/>
        <v>30355</v>
      </c>
      <c r="I2113" s="34"/>
      <c r="J2113" s="28"/>
      <c r="K2113" s="22"/>
    </row>
    <row r="2114" spans="1:11" s="4" customFormat="1" x14ac:dyDescent="0.25">
      <c r="A2114" s="24"/>
      <c r="B2114" s="25"/>
      <c r="C2114" s="16" t="s">
        <v>25</v>
      </c>
      <c r="D2114" s="14">
        <f t="shared" si="113"/>
        <v>0</v>
      </c>
      <c r="E2114" s="16" t="s">
        <v>25</v>
      </c>
      <c r="F2114" s="14">
        <f t="shared" si="114"/>
        <v>0</v>
      </c>
      <c r="G2114" s="16" t="s">
        <v>25</v>
      </c>
      <c r="H2114" s="14">
        <f t="shared" si="114"/>
        <v>0</v>
      </c>
      <c r="I2114" s="35"/>
      <c r="J2114" s="28"/>
      <c r="K2114" s="22"/>
    </row>
    <row r="2115" spans="1:11" s="4" customFormat="1" x14ac:dyDescent="0.25">
      <c r="A2115" s="30" t="s">
        <v>696</v>
      </c>
      <c r="B2115" s="31" t="s">
        <v>697</v>
      </c>
      <c r="C2115" s="9" t="s">
        <v>28</v>
      </c>
      <c r="D2115" s="10">
        <f>D2117+D2118+D2119+D2120</f>
        <v>37994.350000000006</v>
      </c>
      <c r="E2115" s="9" t="s">
        <v>28</v>
      </c>
      <c r="F2115" s="10">
        <f>F2117+F2118+F2119+F2120</f>
        <v>42013.75</v>
      </c>
      <c r="G2115" s="9" t="s">
        <v>28</v>
      </c>
      <c r="H2115" s="10">
        <f>H2117+H2118+H2119+H2120</f>
        <v>43051.7</v>
      </c>
      <c r="I2115" s="27" t="s">
        <v>18</v>
      </c>
      <c r="J2115" s="28"/>
      <c r="K2115" s="22" t="s">
        <v>695</v>
      </c>
    </row>
    <row r="2116" spans="1:11" s="4" customFormat="1" x14ac:dyDescent="0.25">
      <c r="A2116" s="30"/>
      <c r="B2116" s="31"/>
      <c r="C2116" s="9" t="s">
        <v>21</v>
      </c>
      <c r="D2116" s="10"/>
      <c r="E2116" s="9" t="s">
        <v>21</v>
      </c>
      <c r="F2116" s="10"/>
      <c r="G2116" s="9" t="s">
        <v>21</v>
      </c>
      <c r="H2116" s="10"/>
      <c r="I2116" s="28"/>
      <c r="J2116" s="28"/>
      <c r="K2116" s="22"/>
    </row>
    <row r="2117" spans="1:11" s="4" customFormat="1" x14ac:dyDescent="0.25">
      <c r="A2117" s="30"/>
      <c r="B2117" s="31"/>
      <c r="C2117" s="12" t="s">
        <v>22</v>
      </c>
      <c r="D2117" s="10">
        <f>D2123+D2129+D2135+D2141+D2153+D2159+D2165+D2147</f>
        <v>0</v>
      </c>
      <c r="E2117" s="12" t="s">
        <v>22</v>
      </c>
      <c r="F2117" s="10">
        <f>F2123+F2129+F2135+F2141+F2153+F2159+F2165+F2147</f>
        <v>0</v>
      </c>
      <c r="G2117" s="12" t="s">
        <v>22</v>
      </c>
      <c r="H2117" s="10">
        <f>H2123+H2129+H2135+H2141+H2153+H2159+H2165+H2147</f>
        <v>0</v>
      </c>
      <c r="I2117" s="28"/>
      <c r="J2117" s="28"/>
      <c r="K2117" s="22"/>
    </row>
    <row r="2118" spans="1:11" s="4" customFormat="1" x14ac:dyDescent="0.25">
      <c r="A2118" s="30"/>
      <c r="B2118" s="31"/>
      <c r="C2118" s="12" t="s">
        <v>23</v>
      </c>
      <c r="D2118" s="10">
        <f t="shared" ref="D2118:F2120" si="115">D2124+D2130+D2136+D2142+D2154+D2160+D2166+D2148</f>
        <v>14526.05</v>
      </c>
      <c r="E2118" s="12" t="s">
        <v>23</v>
      </c>
      <c r="F2118" s="10">
        <f t="shared" si="115"/>
        <v>12696.7</v>
      </c>
      <c r="G2118" s="12" t="s">
        <v>23</v>
      </c>
      <c r="H2118" s="10">
        <f t="shared" ref="H2118:H2120" si="116">H2124+H2130+H2136+H2142+H2154+H2160+H2166+H2148</f>
        <v>12696.7</v>
      </c>
      <c r="I2118" s="28"/>
      <c r="J2118" s="28"/>
      <c r="K2118" s="22"/>
    </row>
    <row r="2119" spans="1:11" s="4" customFormat="1" x14ac:dyDescent="0.25">
      <c r="A2119" s="30"/>
      <c r="B2119" s="31"/>
      <c r="C2119" s="12" t="s">
        <v>24</v>
      </c>
      <c r="D2119" s="10">
        <f t="shared" si="115"/>
        <v>23468.300000000003</v>
      </c>
      <c r="E2119" s="12" t="s">
        <v>24</v>
      </c>
      <c r="F2119" s="10">
        <f t="shared" si="115"/>
        <v>29317.05</v>
      </c>
      <c r="G2119" s="12" t="s">
        <v>24</v>
      </c>
      <c r="H2119" s="10">
        <f t="shared" si="116"/>
        <v>30355</v>
      </c>
      <c r="I2119" s="28"/>
      <c r="J2119" s="28"/>
      <c r="K2119" s="22"/>
    </row>
    <row r="2120" spans="1:11" s="4" customFormat="1" x14ac:dyDescent="0.25">
      <c r="A2120" s="30"/>
      <c r="B2120" s="31"/>
      <c r="C2120" s="12" t="s">
        <v>25</v>
      </c>
      <c r="D2120" s="10">
        <f t="shared" si="115"/>
        <v>0</v>
      </c>
      <c r="E2120" s="12" t="s">
        <v>25</v>
      </c>
      <c r="F2120" s="10">
        <f t="shared" si="115"/>
        <v>0</v>
      </c>
      <c r="G2120" s="12" t="s">
        <v>25</v>
      </c>
      <c r="H2120" s="10">
        <f t="shared" si="116"/>
        <v>0</v>
      </c>
      <c r="I2120" s="29"/>
      <c r="J2120" s="28"/>
      <c r="K2120" s="22"/>
    </row>
    <row r="2121" spans="1:11" s="4" customFormat="1" x14ac:dyDescent="0.25">
      <c r="A2121" s="32" t="s">
        <v>698</v>
      </c>
      <c r="B2121" s="21" t="s">
        <v>699</v>
      </c>
      <c r="C2121" s="9" t="s">
        <v>28</v>
      </c>
      <c r="D2121" s="17">
        <f>D2123+D2124+D2125+D2126</f>
        <v>2630.02</v>
      </c>
      <c r="E2121" s="9" t="s">
        <v>28</v>
      </c>
      <c r="F2121" s="17">
        <f>F2123+F2124+F2125+F2126</f>
        <v>7693.24</v>
      </c>
      <c r="G2121" s="9" t="s">
        <v>28</v>
      </c>
      <c r="H2121" s="17">
        <f>H2123+H2124+H2125+H2126</f>
        <v>8514.5400000000009</v>
      </c>
      <c r="I2121" s="27" t="s">
        <v>18</v>
      </c>
      <c r="J2121" s="28"/>
      <c r="K2121" s="22" t="s">
        <v>695</v>
      </c>
    </row>
    <row r="2122" spans="1:11" s="4" customFormat="1" x14ac:dyDescent="0.25">
      <c r="A2122" s="32"/>
      <c r="B2122" s="21"/>
      <c r="C2122" s="9" t="s">
        <v>21</v>
      </c>
      <c r="D2122" s="17"/>
      <c r="E2122" s="9" t="s">
        <v>21</v>
      </c>
      <c r="F2122" s="17"/>
      <c r="G2122" s="9" t="s">
        <v>21</v>
      </c>
      <c r="H2122" s="17"/>
      <c r="I2122" s="28"/>
      <c r="J2122" s="28"/>
      <c r="K2122" s="22"/>
    </row>
    <row r="2123" spans="1:11" s="4" customFormat="1" x14ac:dyDescent="0.25">
      <c r="A2123" s="32"/>
      <c r="B2123" s="21"/>
      <c r="C2123" s="12" t="s">
        <v>22</v>
      </c>
      <c r="D2123" s="17">
        <v>0</v>
      </c>
      <c r="E2123" s="12" t="s">
        <v>22</v>
      </c>
      <c r="F2123" s="17">
        <v>0</v>
      </c>
      <c r="G2123" s="12" t="s">
        <v>22</v>
      </c>
      <c r="H2123" s="17">
        <v>0</v>
      </c>
      <c r="I2123" s="28"/>
      <c r="J2123" s="28"/>
      <c r="K2123" s="22"/>
    </row>
    <row r="2124" spans="1:11" s="4" customFormat="1" x14ac:dyDescent="0.25">
      <c r="A2124" s="32"/>
      <c r="B2124" s="21"/>
      <c r="C2124" s="12" t="s">
        <v>23</v>
      </c>
      <c r="D2124" s="17">
        <v>0</v>
      </c>
      <c r="E2124" s="12" t="s">
        <v>23</v>
      </c>
      <c r="F2124" s="17">
        <v>0</v>
      </c>
      <c r="G2124" s="12" t="s">
        <v>23</v>
      </c>
      <c r="H2124" s="17">
        <v>0</v>
      </c>
      <c r="I2124" s="28"/>
      <c r="J2124" s="28"/>
      <c r="K2124" s="22"/>
    </row>
    <row r="2125" spans="1:11" s="4" customFormat="1" x14ac:dyDescent="0.25">
      <c r="A2125" s="32"/>
      <c r="B2125" s="21"/>
      <c r="C2125" s="12" t="s">
        <v>24</v>
      </c>
      <c r="D2125" s="17">
        <v>2630.02</v>
      </c>
      <c r="E2125" s="12" t="s">
        <v>24</v>
      </c>
      <c r="F2125" s="17">
        <v>7693.24</v>
      </c>
      <c r="G2125" s="12" t="s">
        <v>24</v>
      </c>
      <c r="H2125" s="17">
        <v>8514.5400000000009</v>
      </c>
      <c r="I2125" s="28"/>
      <c r="J2125" s="28"/>
      <c r="K2125" s="22"/>
    </row>
    <row r="2126" spans="1:11" s="4" customFormat="1" x14ac:dyDescent="0.25">
      <c r="A2126" s="32"/>
      <c r="B2126" s="21"/>
      <c r="C2126" s="12" t="s">
        <v>25</v>
      </c>
      <c r="D2126" s="17">
        <v>0</v>
      </c>
      <c r="E2126" s="12" t="s">
        <v>25</v>
      </c>
      <c r="F2126" s="17">
        <v>0</v>
      </c>
      <c r="G2126" s="12" t="s">
        <v>25</v>
      </c>
      <c r="H2126" s="17">
        <v>0</v>
      </c>
      <c r="I2126" s="29"/>
      <c r="J2126" s="28"/>
      <c r="K2126" s="22"/>
    </row>
    <row r="2127" spans="1:11" s="4" customFormat="1" x14ac:dyDescent="0.25">
      <c r="A2127" s="32" t="s">
        <v>700</v>
      </c>
      <c r="B2127" s="21" t="s">
        <v>701</v>
      </c>
      <c r="C2127" s="9" t="s">
        <v>28</v>
      </c>
      <c r="D2127" s="17">
        <f>D2129+D2130+D2131+D2132</f>
        <v>8045.2</v>
      </c>
      <c r="E2127" s="9" t="s">
        <v>28</v>
      </c>
      <c r="F2127" s="17">
        <f>F2129+F2130+F2131+F2132</f>
        <v>5096</v>
      </c>
      <c r="G2127" s="9" t="s">
        <v>28</v>
      </c>
      <c r="H2127" s="17">
        <f>H2129+H2130+H2131+H2132</f>
        <v>5325</v>
      </c>
      <c r="I2127" s="27" t="s">
        <v>18</v>
      </c>
      <c r="J2127" s="28"/>
      <c r="K2127" s="22" t="s">
        <v>695</v>
      </c>
    </row>
    <row r="2128" spans="1:11" s="4" customFormat="1" x14ac:dyDescent="0.25">
      <c r="A2128" s="32"/>
      <c r="B2128" s="21"/>
      <c r="C2128" s="9" t="s">
        <v>21</v>
      </c>
      <c r="D2128" s="17"/>
      <c r="E2128" s="9" t="s">
        <v>21</v>
      </c>
      <c r="F2128" s="17"/>
      <c r="G2128" s="9" t="s">
        <v>21</v>
      </c>
      <c r="H2128" s="17"/>
      <c r="I2128" s="28"/>
      <c r="J2128" s="28"/>
      <c r="K2128" s="22"/>
    </row>
    <row r="2129" spans="1:11" s="4" customFormat="1" x14ac:dyDescent="0.25">
      <c r="A2129" s="32"/>
      <c r="B2129" s="21"/>
      <c r="C2129" s="12" t="s">
        <v>22</v>
      </c>
      <c r="D2129" s="17">
        <v>0</v>
      </c>
      <c r="E2129" s="12" t="s">
        <v>22</v>
      </c>
      <c r="F2129" s="17">
        <v>0</v>
      </c>
      <c r="G2129" s="12" t="s">
        <v>22</v>
      </c>
      <c r="H2129" s="17">
        <v>0</v>
      </c>
      <c r="I2129" s="28"/>
      <c r="J2129" s="28"/>
      <c r="K2129" s="22"/>
    </row>
    <row r="2130" spans="1:11" s="4" customFormat="1" x14ac:dyDescent="0.25">
      <c r="A2130" s="32"/>
      <c r="B2130" s="21"/>
      <c r="C2130" s="12" t="s">
        <v>23</v>
      </c>
      <c r="D2130" s="17">
        <v>0</v>
      </c>
      <c r="E2130" s="12" t="s">
        <v>23</v>
      </c>
      <c r="F2130" s="17">
        <v>0</v>
      </c>
      <c r="G2130" s="12" t="s">
        <v>23</v>
      </c>
      <c r="H2130" s="17">
        <v>0</v>
      </c>
      <c r="I2130" s="28"/>
      <c r="J2130" s="28"/>
      <c r="K2130" s="22"/>
    </row>
    <row r="2131" spans="1:11" s="4" customFormat="1" x14ac:dyDescent="0.25">
      <c r="A2131" s="32"/>
      <c r="B2131" s="21"/>
      <c r="C2131" s="12" t="s">
        <v>24</v>
      </c>
      <c r="D2131" s="17">
        <v>8045.2</v>
      </c>
      <c r="E2131" s="12" t="s">
        <v>24</v>
      </c>
      <c r="F2131" s="17">
        <v>5096</v>
      </c>
      <c r="G2131" s="12" t="s">
        <v>24</v>
      </c>
      <c r="H2131" s="17">
        <v>5325</v>
      </c>
      <c r="I2131" s="28"/>
      <c r="J2131" s="28"/>
      <c r="K2131" s="22"/>
    </row>
    <row r="2132" spans="1:11" s="4" customFormat="1" x14ac:dyDescent="0.25">
      <c r="A2132" s="32"/>
      <c r="B2132" s="21"/>
      <c r="C2132" s="12" t="s">
        <v>25</v>
      </c>
      <c r="D2132" s="17">
        <v>0</v>
      </c>
      <c r="E2132" s="12" t="s">
        <v>25</v>
      </c>
      <c r="F2132" s="17">
        <v>0</v>
      </c>
      <c r="G2132" s="12" t="s">
        <v>25</v>
      </c>
      <c r="H2132" s="17">
        <v>0</v>
      </c>
      <c r="I2132" s="29"/>
      <c r="J2132" s="28"/>
      <c r="K2132" s="22"/>
    </row>
    <row r="2133" spans="1:11" s="4" customFormat="1" x14ac:dyDescent="0.25">
      <c r="A2133" s="32" t="s">
        <v>702</v>
      </c>
      <c r="B2133" s="21" t="s">
        <v>703</v>
      </c>
      <c r="C2133" s="9" t="s">
        <v>28</v>
      </c>
      <c r="D2133" s="17">
        <f>D2135+D2136+D2137+D2138</f>
        <v>12646.21</v>
      </c>
      <c r="E2133" s="9" t="s">
        <v>28</v>
      </c>
      <c r="F2133" s="17">
        <f>F2135+F2136+F2137+F2138</f>
        <v>16229.56</v>
      </c>
      <c r="G2133" s="9" t="s">
        <v>28</v>
      </c>
      <c r="H2133" s="17">
        <f>H2135+H2136+H2137+H2138</f>
        <v>16387.21</v>
      </c>
      <c r="I2133" s="27" t="s">
        <v>18</v>
      </c>
      <c r="J2133" s="28"/>
      <c r="K2133" s="22" t="s">
        <v>695</v>
      </c>
    </row>
    <row r="2134" spans="1:11" s="4" customFormat="1" x14ac:dyDescent="0.25">
      <c r="A2134" s="32"/>
      <c r="B2134" s="21"/>
      <c r="C2134" s="9" t="s">
        <v>21</v>
      </c>
      <c r="D2134" s="17"/>
      <c r="E2134" s="9" t="s">
        <v>21</v>
      </c>
      <c r="F2134" s="17"/>
      <c r="G2134" s="9" t="s">
        <v>21</v>
      </c>
      <c r="H2134" s="17"/>
      <c r="I2134" s="28"/>
      <c r="J2134" s="28"/>
      <c r="K2134" s="22"/>
    </row>
    <row r="2135" spans="1:11" s="4" customFormat="1" x14ac:dyDescent="0.25">
      <c r="A2135" s="32"/>
      <c r="B2135" s="21"/>
      <c r="C2135" s="12" t="s">
        <v>22</v>
      </c>
      <c r="D2135" s="17">
        <v>0</v>
      </c>
      <c r="E2135" s="12" t="s">
        <v>22</v>
      </c>
      <c r="F2135" s="17">
        <v>0</v>
      </c>
      <c r="G2135" s="12" t="s">
        <v>22</v>
      </c>
      <c r="H2135" s="17">
        <v>0</v>
      </c>
      <c r="I2135" s="28"/>
      <c r="J2135" s="28"/>
      <c r="K2135" s="22"/>
    </row>
    <row r="2136" spans="1:11" s="4" customFormat="1" x14ac:dyDescent="0.25">
      <c r="A2136" s="32"/>
      <c r="B2136" s="21"/>
      <c r="C2136" s="12" t="s">
        <v>23</v>
      </c>
      <c r="D2136" s="17">
        <v>0</v>
      </c>
      <c r="E2136" s="12" t="s">
        <v>23</v>
      </c>
      <c r="F2136" s="17">
        <v>0</v>
      </c>
      <c r="G2136" s="12" t="s">
        <v>23</v>
      </c>
      <c r="H2136" s="17">
        <v>0</v>
      </c>
      <c r="I2136" s="28"/>
      <c r="J2136" s="28"/>
      <c r="K2136" s="22"/>
    </row>
    <row r="2137" spans="1:11" s="4" customFormat="1" x14ac:dyDescent="0.25">
      <c r="A2137" s="32"/>
      <c r="B2137" s="21"/>
      <c r="C2137" s="12" t="s">
        <v>24</v>
      </c>
      <c r="D2137" s="17">
        <v>12646.21</v>
      </c>
      <c r="E2137" s="12" t="s">
        <v>24</v>
      </c>
      <c r="F2137" s="17">
        <v>16229.56</v>
      </c>
      <c r="G2137" s="12" t="s">
        <v>24</v>
      </c>
      <c r="H2137" s="17">
        <v>16387.21</v>
      </c>
      <c r="I2137" s="28"/>
      <c r="J2137" s="28"/>
      <c r="K2137" s="22"/>
    </row>
    <row r="2138" spans="1:11" s="4" customFormat="1" x14ac:dyDescent="0.25">
      <c r="A2138" s="32"/>
      <c r="B2138" s="21"/>
      <c r="C2138" s="12" t="s">
        <v>25</v>
      </c>
      <c r="D2138" s="17">
        <v>0</v>
      </c>
      <c r="E2138" s="12" t="s">
        <v>25</v>
      </c>
      <c r="F2138" s="17">
        <v>0</v>
      </c>
      <c r="G2138" s="12" t="s">
        <v>25</v>
      </c>
      <c r="H2138" s="17">
        <v>0</v>
      </c>
      <c r="I2138" s="29"/>
      <c r="J2138" s="28"/>
      <c r="K2138" s="22"/>
    </row>
    <row r="2139" spans="1:11" s="4" customFormat="1" x14ac:dyDescent="0.25">
      <c r="A2139" s="32" t="s">
        <v>704</v>
      </c>
      <c r="B2139" s="21" t="s">
        <v>705</v>
      </c>
      <c r="C2139" s="9" t="s">
        <v>28</v>
      </c>
      <c r="D2139" s="17">
        <f>D2141+D2142+D2143+D2144</f>
        <v>14597.819999999998</v>
      </c>
      <c r="E2139" s="9" t="s">
        <v>28</v>
      </c>
      <c r="F2139" s="17">
        <f>F2141+F2142+F2143+F2144</f>
        <v>0</v>
      </c>
      <c r="G2139" s="9" t="s">
        <v>28</v>
      </c>
      <c r="H2139" s="17">
        <f>H2141+H2142+H2143+H2144</f>
        <v>0</v>
      </c>
      <c r="I2139" s="27" t="s">
        <v>18</v>
      </c>
      <c r="J2139" s="28"/>
      <c r="K2139" s="22" t="s">
        <v>695</v>
      </c>
    </row>
    <row r="2140" spans="1:11" s="4" customFormat="1" x14ac:dyDescent="0.25">
      <c r="A2140" s="32"/>
      <c r="B2140" s="21"/>
      <c r="C2140" s="9" t="s">
        <v>21</v>
      </c>
      <c r="D2140" s="17"/>
      <c r="E2140" s="9" t="s">
        <v>21</v>
      </c>
      <c r="F2140" s="17"/>
      <c r="G2140" s="9" t="s">
        <v>21</v>
      </c>
      <c r="H2140" s="17"/>
      <c r="I2140" s="28"/>
      <c r="J2140" s="28"/>
      <c r="K2140" s="22"/>
    </row>
    <row r="2141" spans="1:11" s="4" customFormat="1" x14ac:dyDescent="0.25">
      <c r="A2141" s="32"/>
      <c r="B2141" s="21"/>
      <c r="C2141" s="12" t="s">
        <v>22</v>
      </c>
      <c r="D2141" s="17">
        <v>0</v>
      </c>
      <c r="E2141" s="12" t="s">
        <v>22</v>
      </c>
      <c r="F2141" s="17">
        <v>0</v>
      </c>
      <c r="G2141" s="12" t="s">
        <v>22</v>
      </c>
      <c r="H2141" s="17">
        <v>0</v>
      </c>
      <c r="I2141" s="28"/>
      <c r="J2141" s="28"/>
      <c r="K2141" s="22"/>
    </row>
    <row r="2142" spans="1:11" s="4" customFormat="1" x14ac:dyDescent="0.25">
      <c r="A2142" s="32"/>
      <c r="B2142" s="21"/>
      <c r="C2142" s="12" t="s">
        <v>23</v>
      </c>
      <c r="D2142" s="17">
        <f>7502.65+6949.2</f>
        <v>14451.849999999999</v>
      </c>
      <c r="E2142" s="12" t="s">
        <v>23</v>
      </c>
      <c r="F2142" s="17">
        <v>0</v>
      </c>
      <c r="G2142" s="12" t="s">
        <v>23</v>
      </c>
      <c r="H2142" s="17">
        <v>0</v>
      </c>
      <c r="I2142" s="28"/>
      <c r="J2142" s="28"/>
      <c r="K2142" s="22"/>
    </row>
    <row r="2143" spans="1:11" s="4" customFormat="1" x14ac:dyDescent="0.25">
      <c r="A2143" s="32"/>
      <c r="B2143" s="21"/>
      <c r="C2143" s="12" t="s">
        <v>24</v>
      </c>
      <c r="D2143" s="17">
        <f>75.78+70.19</f>
        <v>145.97</v>
      </c>
      <c r="E2143" s="12" t="s">
        <v>24</v>
      </c>
      <c r="F2143" s="17">
        <v>0</v>
      </c>
      <c r="G2143" s="12" t="s">
        <v>24</v>
      </c>
      <c r="H2143" s="17">
        <v>0</v>
      </c>
      <c r="I2143" s="28"/>
      <c r="J2143" s="28"/>
      <c r="K2143" s="22"/>
    </row>
    <row r="2144" spans="1:11" s="4" customFormat="1" x14ac:dyDescent="0.25">
      <c r="A2144" s="32"/>
      <c r="B2144" s="21"/>
      <c r="C2144" s="12" t="s">
        <v>25</v>
      </c>
      <c r="D2144" s="17">
        <v>0</v>
      </c>
      <c r="E2144" s="12" t="s">
        <v>25</v>
      </c>
      <c r="F2144" s="17">
        <v>0</v>
      </c>
      <c r="G2144" s="12" t="s">
        <v>25</v>
      </c>
      <c r="H2144" s="17">
        <v>0</v>
      </c>
      <c r="I2144" s="29"/>
      <c r="J2144" s="28"/>
      <c r="K2144" s="22"/>
    </row>
    <row r="2145" spans="1:11" s="4" customFormat="1" x14ac:dyDescent="0.25">
      <c r="A2145" s="32" t="s">
        <v>706</v>
      </c>
      <c r="B2145" s="21" t="s">
        <v>707</v>
      </c>
      <c r="C2145" s="9" t="s">
        <v>28</v>
      </c>
      <c r="D2145" s="17">
        <f>D2147+D2148+D2149+D2150</f>
        <v>0</v>
      </c>
      <c r="E2145" s="9" t="s">
        <v>28</v>
      </c>
      <c r="F2145" s="17">
        <f>F2147+F2148+F2149+F2150</f>
        <v>12824.95</v>
      </c>
      <c r="G2145" s="9" t="s">
        <v>28</v>
      </c>
      <c r="H2145" s="17">
        <f>H2147+H2148+H2149+H2150</f>
        <v>12824.95</v>
      </c>
      <c r="I2145" s="27" t="s">
        <v>18</v>
      </c>
      <c r="J2145" s="15"/>
      <c r="K2145" s="22" t="s">
        <v>695</v>
      </c>
    </row>
    <row r="2146" spans="1:11" s="4" customFormat="1" x14ac:dyDescent="0.25">
      <c r="A2146" s="32"/>
      <c r="B2146" s="21"/>
      <c r="C2146" s="9" t="s">
        <v>21</v>
      </c>
      <c r="D2146" s="17"/>
      <c r="E2146" s="9" t="s">
        <v>21</v>
      </c>
      <c r="F2146" s="17"/>
      <c r="G2146" s="9" t="s">
        <v>21</v>
      </c>
      <c r="H2146" s="17"/>
      <c r="I2146" s="28"/>
      <c r="J2146" s="15"/>
      <c r="K2146" s="22"/>
    </row>
    <row r="2147" spans="1:11" s="4" customFormat="1" x14ac:dyDescent="0.25">
      <c r="A2147" s="32"/>
      <c r="B2147" s="21"/>
      <c r="C2147" s="12" t="s">
        <v>22</v>
      </c>
      <c r="D2147" s="17">
        <v>0</v>
      </c>
      <c r="E2147" s="12" t="s">
        <v>22</v>
      </c>
      <c r="F2147" s="17">
        <v>0</v>
      </c>
      <c r="G2147" s="12" t="s">
        <v>22</v>
      </c>
      <c r="H2147" s="17">
        <v>0</v>
      </c>
      <c r="I2147" s="28"/>
      <c r="J2147" s="15"/>
      <c r="K2147" s="22"/>
    </row>
    <row r="2148" spans="1:11" s="4" customFormat="1" x14ac:dyDescent="0.25">
      <c r="A2148" s="32"/>
      <c r="B2148" s="21"/>
      <c r="C2148" s="12" t="s">
        <v>23</v>
      </c>
      <c r="D2148" s="17">
        <v>0</v>
      </c>
      <c r="E2148" s="12" t="s">
        <v>23</v>
      </c>
      <c r="F2148" s="17">
        <f>6658.7+6038</f>
        <v>12696.7</v>
      </c>
      <c r="G2148" s="12" t="s">
        <v>23</v>
      </c>
      <c r="H2148" s="17">
        <f>6658.7+6038</f>
        <v>12696.7</v>
      </c>
      <c r="I2148" s="28"/>
      <c r="J2148" s="15"/>
      <c r="K2148" s="22"/>
    </row>
    <row r="2149" spans="1:11" s="4" customFormat="1" x14ac:dyDescent="0.25">
      <c r="A2149" s="32"/>
      <c r="B2149" s="21"/>
      <c r="C2149" s="12" t="s">
        <v>24</v>
      </c>
      <c r="D2149" s="17">
        <v>0</v>
      </c>
      <c r="E2149" s="12" t="s">
        <v>24</v>
      </c>
      <c r="F2149" s="17">
        <f>67.26+60.99</f>
        <v>128.25</v>
      </c>
      <c r="G2149" s="12" t="s">
        <v>24</v>
      </c>
      <c r="H2149" s="17">
        <f>67.26+60.99</f>
        <v>128.25</v>
      </c>
      <c r="I2149" s="28"/>
      <c r="J2149" s="15"/>
      <c r="K2149" s="22"/>
    </row>
    <row r="2150" spans="1:11" s="4" customFormat="1" x14ac:dyDescent="0.25">
      <c r="A2150" s="32"/>
      <c r="B2150" s="21"/>
      <c r="C2150" s="12" t="s">
        <v>25</v>
      </c>
      <c r="D2150" s="17">
        <v>0</v>
      </c>
      <c r="E2150" s="12" t="s">
        <v>25</v>
      </c>
      <c r="F2150" s="17">
        <v>0</v>
      </c>
      <c r="G2150" s="12" t="s">
        <v>25</v>
      </c>
      <c r="H2150" s="17">
        <v>0</v>
      </c>
      <c r="I2150" s="29"/>
      <c r="J2150" s="15"/>
      <c r="K2150" s="22"/>
    </row>
    <row r="2151" spans="1:11" s="4" customFormat="1" x14ac:dyDescent="0.25">
      <c r="A2151" s="32" t="s">
        <v>708</v>
      </c>
      <c r="B2151" s="21" t="s">
        <v>709</v>
      </c>
      <c r="C2151" s="9" t="s">
        <v>28</v>
      </c>
      <c r="D2151" s="17">
        <f>D2153+D2154+D2155+D2156</f>
        <v>75.100000000000009</v>
      </c>
      <c r="E2151" s="9" t="s">
        <v>28</v>
      </c>
      <c r="F2151" s="17">
        <f>F2153+F2154+F2155+F2156</f>
        <v>0</v>
      </c>
      <c r="G2151" s="9" t="s">
        <v>28</v>
      </c>
      <c r="H2151" s="17">
        <f>H2153+H2154+H2155+H2156</f>
        <v>0</v>
      </c>
      <c r="I2151" s="27" t="s">
        <v>18</v>
      </c>
      <c r="J2151" s="15"/>
      <c r="K2151" s="22" t="s">
        <v>695</v>
      </c>
    </row>
    <row r="2152" spans="1:11" s="4" customFormat="1" x14ac:dyDescent="0.25">
      <c r="A2152" s="32"/>
      <c r="B2152" s="21"/>
      <c r="C2152" s="9" t="s">
        <v>21</v>
      </c>
      <c r="D2152" s="17"/>
      <c r="E2152" s="9" t="s">
        <v>21</v>
      </c>
      <c r="F2152" s="17"/>
      <c r="G2152" s="9" t="s">
        <v>21</v>
      </c>
      <c r="H2152" s="17"/>
      <c r="I2152" s="28"/>
      <c r="J2152" s="15"/>
      <c r="K2152" s="22"/>
    </row>
    <row r="2153" spans="1:11" s="4" customFormat="1" x14ac:dyDescent="0.25">
      <c r="A2153" s="32"/>
      <c r="B2153" s="21"/>
      <c r="C2153" s="12" t="s">
        <v>22</v>
      </c>
      <c r="D2153" s="17">
        <v>0</v>
      </c>
      <c r="E2153" s="12" t="s">
        <v>22</v>
      </c>
      <c r="F2153" s="17">
        <v>0</v>
      </c>
      <c r="G2153" s="12" t="s">
        <v>22</v>
      </c>
      <c r="H2153" s="17">
        <v>0</v>
      </c>
      <c r="I2153" s="28"/>
      <c r="J2153" s="15"/>
      <c r="K2153" s="22"/>
    </row>
    <row r="2154" spans="1:11" s="4" customFormat="1" x14ac:dyDescent="0.25">
      <c r="A2154" s="32"/>
      <c r="B2154" s="21"/>
      <c r="C2154" s="12" t="s">
        <v>23</v>
      </c>
      <c r="D2154" s="17">
        <f>29.7+44.5</f>
        <v>74.2</v>
      </c>
      <c r="E2154" s="12" t="s">
        <v>23</v>
      </c>
      <c r="F2154" s="17">
        <v>0</v>
      </c>
      <c r="G2154" s="12" t="s">
        <v>23</v>
      </c>
      <c r="H2154" s="17">
        <v>0</v>
      </c>
      <c r="I2154" s="28"/>
      <c r="J2154" s="15"/>
      <c r="K2154" s="22"/>
    </row>
    <row r="2155" spans="1:11" s="4" customFormat="1" x14ac:dyDescent="0.25">
      <c r="A2155" s="32"/>
      <c r="B2155" s="21"/>
      <c r="C2155" s="12" t="s">
        <v>24</v>
      </c>
      <c r="D2155" s="17">
        <f>0.45+0.45</f>
        <v>0.9</v>
      </c>
      <c r="E2155" s="12" t="s">
        <v>24</v>
      </c>
      <c r="F2155" s="17">
        <v>0</v>
      </c>
      <c r="G2155" s="12" t="s">
        <v>24</v>
      </c>
      <c r="H2155" s="17">
        <v>0</v>
      </c>
      <c r="I2155" s="28"/>
      <c r="J2155" s="15"/>
      <c r="K2155" s="22"/>
    </row>
    <row r="2156" spans="1:11" s="4" customFormat="1" x14ac:dyDescent="0.25">
      <c r="A2156" s="32"/>
      <c r="B2156" s="21"/>
      <c r="C2156" s="12" t="s">
        <v>25</v>
      </c>
      <c r="D2156" s="17">
        <v>0</v>
      </c>
      <c r="E2156" s="12" t="s">
        <v>25</v>
      </c>
      <c r="F2156" s="17">
        <v>0</v>
      </c>
      <c r="G2156" s="12" t="s">
        <v>25</v>
      </c>
      <c r="H2156" s="17">
        <v>0</v>
      </c>
      <c r="I2156" s="29"/>
      <c r="J2156" s="15"/>
      <c r="K2156" s="22"/>
    </row>
    <row r="2157" spans="1:11" s="4" customFormat="1" x14ac:dyDescent="0.25">
      <c r="A2157" s="32" t="s">
        <v>710</v>
      </c>
      <c r="B2157" s="21" t="s">
        <v>711</v>
      </c>
      <c r="C2157" s="9" t="s">
        <v>28</v>
      </c>
      <c r="D2157" s="17">
        <f>D2159+D2160+D2161+D2162</f>
        <v>0</v>
      </c>
      <c r="E2157" s="9" t="s">
        <v>28</v>
      </c>
      <c r="F2157" s="17">
        <f>F2159+F2160+F2161+F2162</f>
        <v>120</v>
      </c>
      <c r="G2157" s="9" t="s">
        <v>28</v>
      </c>
      <c r="H2157" s="17">
        <f>H2159+H2160+H2161+H2162</f>
        <v>0</v>
      </c>
      <c r="I2157" s="27" t="s">
        <v>18</v>
      </c>
      <c r="J2157" s="15"/>
      <c r="K2157" s="22" t="s">
        <v>695</v>
      </c>
    </row>
    <row r="2158" spans="1:11" s="4" customFormat="1" x14ac:dyDescent="0.25">
      <c r="A2158" s="32"/>
      <c r="B2158" s="21"/>
      <c r="C2158" s="9" t="s">
        <v>21</v>
      </c>
      <c r="D2158" s="17"/>
      <c r="E2158" s="9" t="s">
        <v>21</v>
      </c>
      <c r="F2158" s="17"/>
      <c r="G2158" s="9" t="s">
        <v>21</v>
      </c>
      <c r="H2158" s="17"/>
      <c r="I2158" s="28"/>
      <c r="J2158" s="15"/>
      <c r="K2158" s="22"/>
    </row>
    <row r="2159" spans="1:11" s="4" customFormat="1" x14ac:dyDescent="0.25">
      <c r="A2159" s="32"/>
      <c r="B2159" s="21"/>
      <c r="C2159" s="12" t="s">
        <v>22</v>
      </c>
      <c r="D2159" s="17">
        <v>0</v>
      </c>
      <c r="E2159" s="12" t="s">
        <v>22</v>
      </c>
      <c r="F2159" s="17">
        <v>0</v>
      </c>
      <c r="G2159" s="12" t="s">
        <v>22</v>
      </c>
      <c r="H2159" s="17">
        <v>0</v>
      </c>
      <c r="I2159" s="28"/>
      <c r="J2159" s="15"/>
      <c r="K2159" s="22"/>
    </row>
    <row r="2160" spans="1:11" s="4" customFormat="1" x14ac:dyDescent="0.25">
      <c r="A2160" s="32"/>
      <c r="B2160" s="21"/>
      <c r="C2160" s="12" t="s">
        <v>23</v>
      </c>
      <c r="D2160" s="17">
        <v>0</v>
      </c>
      <c r="E2160" s="12" t="s">
        <v>23</v>
      </c>
      <c r="F2160" s="17">
        <v>0</v>
      </c>
      <c r="G2160" s="12" t="s">
        <v>23</v>
      </c>
      <c r="H2160" s="17">
        <v>0</v>
      </c>
      <c r="I2160" s="28"/>
      <c r="J2160" s="15"/>
      <c r="K2160" s="22"/>
    </row>
    <row r="2161" spans="1:11" s="4" customFormat="1" x14ac:dyDescent="0.25">
      <c r="A2161" s="32"/>
      <c r="B2161" s="21"/>
      <c r="C2161" s="12" t="s">
        <v>24</v>
      </c>
      <c r="D2161" s="17">
        <v>0</v>
      </c>
      <c r="E2161" s="12" t="s">
        <v>24</v>
      </c>
      <c r="F2161" s="17">
        <v>120</v>
      </c>
      <c r="G2161" s="12" t="s">
        <v>24</v>
      </c>
      <c r="H2161" s="17">
        <v>0</v>
      </c>
      <c r="I2161" s="28"/>
      <c r="J2161" s="15"/>
      <c r="K2161" s="22"/>
    </row>
    <row r="2162" spans="1:11" s="4" customFormat="1" x14ac:dyDescent="0.25">
      <c r="A2162" s="32"/>
      <c r="B2162" s="21"/>
      <c r="C2162" s="12" t="s">
        <v>25</v>
      </c>
      <c r="D2162" s="17">
        <v>0</v>
      </c>
      <c r="E2162" s="12" t="s">
        <v>25</v>
      </c>
      <c r="F2162" s="17">
        <v>0</v>
      </c>
      <c r="G2162" s="12" t="s">
        <v>25</v>
      </c>
      <c r="H2162" s="17">
        <v>0</v>
      </c>
      <c r="I2162" s="29"/>
      <c r="J2162" s="15"/>
      <c r="K2162" s="22"/>
    </row>
    <row r="2163" spans="1:11" s="4" customFormat="1" x14ac:dyDescent="0.25">
      <c r="A2163" s="32" t="s">
        <v>712</v>
      </c>
      <c r="B2163" s="21" t="s">
        <v>713</v>
      </c>
      <c r="C2163" s="9" t="s">
        <v>28</v>
      </c>
      <c r="D2163" s="17">
        <f>D2165+D2166+D2167+D2168</f>
        <v>0</v>
      </c>
      <c r="E2163" s="9" t="s">
        <v>28</v>
      </c>
      <c r="F2163" s="17">
        <f>F2165+F2166+F2167+F2168</f>
        <v>50</v>
      </c>
      <c r="G2163" s="9" t="s">
        <v>28</v>
      </c>
      <c r="H2163" s="17">
        <f>H2165+H2166+H2167+H2168</f>
        <v>0</v>
      </c>
      <c r="I2163" s="27" t="s">
        <v>18</v>
      </c>
      <c r="J2163" s="15"/>
      <c r="K2163" s="22" t="s">
        <v>695</v>
      </c>
    </row>
    <row r="2164" spans="1:11" s="4" customFormat="1" x14ac:dyDescent="0.25">
      <c r="A2164" s="32"/>
      <c r="B2164" s="21"/>
      <c r="C2164" s="9" t="s">
        <v>21</v>
      </c>
      <c r="D2164" s="17"/>
      <c r="E2164" s="9" t="s">
        <v>21</v>
      </c>
      <c r="F2164" s="17"/>
      <c r="G2164" s="9" t="s">
        <v>21</v>
      </c>
      <c r="H2164" s="17"/>
      <c r="I2164" s="28"/>
      <c r="J2164" s="15"/>
      <c r="K2164" s="22"/>
    </row>
    <row r="2165" spans="1:11" s="4" customFormat="1" x14ac:dyDescent="0.25">
      <c r="A2165" s="32"/>
      <c r="B2165" s="21"/>
      <c r="C2165" s="12" t="s">
        <v>22</v>
      </c>
      <c r="D2165" s="17">
        <v>0</v>
      </c>
      <c r="E2165" s="12" t="s">
        <v>22</v>
      </c>
      <c r="F2165" s="17">
        <v>0</v>
      </c>
      <c r="G2165" s="12" t="s">
        <v>22</v>
      </c>
      <c r="H2165" s="17">
        <v>0</v>
      </c>
      <c r="I2165" s="28"/>
      <c r="J2165" s="15"/>
      <c r="K2165" s="22"/>
    </row>
    <row r="2166" spans="1:11" s="4" customFormat="1" x14ac:dyDescent="0.25">
      <c r="A2166" s="32"/>
      <c r="B2166" s="21"/>
      <c r="C2166" s="12" t="s">
        <v>23</v>
      </c>
      <c r="D2166" s="17">
        <v>0</v>
      </c>
      <c r="E2166" s="12" t="s">
        <v>23</v>
      </c>
      <c r="F2166" s="17">
        <v>0</v>
      </c>
      <c r="G2166" s="12" t="s">
        <v>23</v>
      </c>
      <c r="H2166" s="17">
        <v>0</v>
      </c>
      <c r="I2166" s="28"/>
      <c r="J2166" s="15"/>
      <c r="K2166" s="22"/>
    </row>
    <row r="2167" spans="1:11" s="4" customFormat="1" x14ac:dyDescent="0.25">
      <c r="A2167" s="32"/>
      <c r="B2167" s="21"/>
      <c r="C2167" s="12" t="s">
        <v>24</v>
      </c>
      <c r="D2167" s="17">
        <v>0</v>
      </c>
      <c r="E2167" s="12" t="s">
        <v>24</v>
      </c>
      <c r="F2167" s="17">
        <v>50</v>
      </c>
      <c r="G2167" s="12" t="s">
        <v>24</v>
      </c>
      <c r="H2167" s="17">
        <v>0</v>
      </c>
      <c r="I2167" s="28"/>
      <c r="J2167" s="15"/>
      <c r="K2167" s="22"/>
    </row>
    <row r="2168" spans="1:11" s="4" customFormat="1" x14ac:dyDescent="0.25">
      <c r="A2168" s="32"/>
      <c r="B2168" s="21"/>
      <c r="C2168" s="12" t="s">
        <v>25</v>
      </c>
      <c r="D2168" s="17">
        <v>0</v>
      </c>
      <c r="E2168" s="12" t="s">
        <v>25</v>
      </c>
      <c r="F2168" s="17">
        <v>0</v>
      </c>
      <c r="G2168" s="12" t="s">
        <v>25</v>
      </c>
      <c r="H2168" s="17">
        <v>0</v>
      </c>
      <c r="I2168" s="29"/>
      <c r="J2168" s="15"/>
      <c r="K2168" s="22"/>
    </row>
    <row r="2169" spans="1:11" s="4" customFormat="1" ht="15" customHeight="1" x14ac:dyDescent="0.25">
      <c r="A2169" s="24" t="s">
        <v>714</v>
      </c>
      <c r="B2169" s="25" t="s">
        <v>715</v>
      </c>
      <c r="C2169" s="13" t="s">
        <v>28</v>
      </c>
      <c r="D2169" s="14">
        <f>D2171+D2172+D2173+D2174</f>
        <v>12547.98</v>
      </c>
      <c r="E2169" s="13" t="s">
        <v>28</v>
      </c>
      <c r="F2169" s="14">
        <f>F2171+F2172+F2173+F2174</f>
        <v>13012.2</v>
      </c>
      <c r="G2169" s="13" t="s">
        <v>28</v>
      </c>
      <c r="H2169" s="14">
        <f>H2171+H2172+H2173+H2174</f>
        <v>13092.2</v>
      </c>
      <c r="I2169" s="33" t="s">
        <v>18</v>
      </c>
      <c r="J2169" s="27" t="s">
        <v>716</v>
      </c>
      <c r="K2169" s="22" t="s">
        <v>717</v>
      </c>
    </row>
    <row r="2170" spans="1:11" s="4" customFormat="1" x14ac:dyDescent="0.25">
      <c r="A2170" s="24"/>
      <c r="B2170" s="25"/>
      <c r="C2170" s="13" t="s">
        <v>21</v>
      </c>
      <c r="D2170" s="14"/>
      <c r="E2170" s="13" t="s">
        <v>21</v>
      </c>
      <c r="F2170" s="14"/>
      <c r="G2170" s="13" t="s">
        <v>21</v>
      </c>
      <c r="H2170" s="14"/>
      <c r="I2170" s="34"/>
      <c r="J2170" s="28"/>
      <c r="K2170" s="22"/>
    </row>
    <row r="2171" spans="1:11" s="4" customFormat="1" x14ac:dyDescent="0.25">
      <c r="A2171" s="24"/>
      <c r="B2171" s="25"/>
      <c r="C2171" s="16" t="s">
        <v>22</v>
      </c>
      <c r="D2171" s="14">
        <f>D2177+D2189</f>
        <v>0</v>
      </c>
      <c r="E2171" s="16" t="s">
        <v>22</v>
      </c>
      <c r="F2171" s="14">
        <f>F2177+F2189</f>
        <v>0</v>
      </c>
      <c r="G2171" s="16" t="s">
        <v>22</v>
      </c>
      <c r="H2171" s="14">
        <f>H2177+H2189</f>
        <v>0</v>
      </c>
      <c r="I2171" s="34"/>
      <c r="J2171" s="28"/>
      <c r="K2171" s="22"/>
    </row>
    <row r="2172" spans="1:11" s="4" customFormat="1" x14ac:dyDescent="0.25">
      <c r="A2172" s="24"/>
      <c r="B2172" s="25"/>
      <c r="C2172" s="16" t="s">
        <v>23</v>
      </c>
      <c r="D2172" s="14">
        <f t="shared" ref="D2172:D2174" si="117">D2178+D2190</f>
        <v>11998.88</v>
      </c>
      <c r="E2172" s="16" t="s">
        <v>23</v>
      </c>
      <c r="F2172" s="14">
        <f t="shared" ref="F2172:H2174" si="118">F2178+F2190</f>
        <v>12502</v>
      </c>
      <c r="G2172" s="16" t="s">
        <v>23</v>
      </c>
      <c r="H2172" s="14">
        <f t="shared" si="118"/>
        <v>12532</v>
      </c>
      <c r="I2172" s="34"/>
      <c r="J2172" s="28"/>
      <c r="K2172" s="22"/>
    </row>
    <row r="2173" spans="1:11" s="4" customFormat="1" x14ac:dyDescent="0.25">
      <c r="A2173" s="24"/>
      <c r="B2173" s="25"/>
      <c r="C2173" s="16" t="s">
        <v>24</v>
      </c>
      <c r="D2173" s="14">
        <f t="shared" si="117"/>
        <v>549.1</v>
      </c>
      <c r="E2173" s="16" t="s">
        <v>24</v>
      </c>
      <c r="F2173" s="14">
        <f t="shared" si="118"/>
        <v>510.2</v>
      </c>
      <c r="G2173" s="16" t="s">
        <v>24</v>
      </c>
      <c r="H2173" s="14">
        <f t="shared" si="118"/>
        <v>560.20000000000005</v>
      </c>
      <c r="I2173" s="34"/>
      <c r="J2173" s="28"/>
      <c r="K2173" s="22"/>
    </row>
    <row r="2174" spans="1:11" s="4" customFormat="1" x14ac:dyDescent="0.25">
      <c r="A2174" s="24"/>
      <c r="B2174" s="25"/>
      <c r="C2174" s="16" t="s">
        <v>25</v>
      </c>
      <c r="D2174" s="14">
        <f t="shared" si="117"/>
        <v>0</v>
      </c>
      <c r="E2174" s="16" t="s">
        <v>25</v>
      </c>
      <c r="F2174" s="14">
        <f t="shared" si="118"/>
        <v>0</v>
      </c>
      <c r="G2174" s="16" t="s">
        <v>25</v>
      </c>
      <c r="H2174" s="14">
        <f t="shared" si="118"/>
        <v>0</v>
      </c>
      <c r="I2174" s="35"/>
      <c r="J2174" s="28"/>
      <c r="K2174" s="22"/>
    </row>
    <row r="2175" spans="1:11" s="4" customFormat="1" x14ac:dyDescent="0.25">
      <c r="A2175" s="30" t="s">
        <v>718</v>
      </c>
      <c r="B2175" s="31" t="s">
        <v>719</v>
      </c>
      <c r="C2175" s="9" t="s">
        <v>28</v>
      </c>
      <c r="D2175" s="10">
        <f>D2177+D2178+D2179+D2180</f>
        <v>549.1</v>
      </c>
      <c r="E2175" s="9" t="s">
        <v>28</v>
      </c>
      <c r="F2175" s="10">
        <f>F2177+F2178+F2179+F2180</f>
        <v>510.2</v>
      </c>
      <c r="G2175" s="9" t="s">
        <v>28</v>
      </c>
      <c r="H2175" s="10">
        <f>H2177+H2178+H2179+H2180</f>
        <v>560.20000000000005</v>
      </c>
      <c r="I2175" s="27" t="s">
        <v>18</v>
      </c>
      <c r="J2175" s="28"/>
      <c r="K2175" s="22" t="s">
        <v>717</v>
      </c>
    </row>
    <row r="2176" spans="1:11" s="4" customFormat="1" x14ac:dyDescent="0.25">
      <c r="A2176" s="30"/>
      <c r="B2176" s="31"/>
      <c r="C2176" s="9" t="s">
        <v>21</v>
      </c>
      <c r="D2176" s="10"/>
      <c r="E2176" s="9" t="s">
        <v>21</v>
      </c>
      <c r="F2176" s="10"/>
      <c r="G2176" s="9" t="s">
        <v>21</v>
      </c>
      <c r="H2176" s="10"/>
      <c r="I2176" s="28"/>
      <c r="J2176" s="28"/>
      <c r="K2176" s="22"/>
    </row>
    <row r="2177" spans="1:11" s="4" customFormat="1" x14ac:dyDescent="0.25">
      <c r="A2177" s="30"/>
      <c r="B2177" s="31"/>
      <c r="C2177" s="12" t="s">
        <v>22</v>
      </c>
      <c r="D2177" s="10">
        <f>D2183</f>
        <v>0</v>
      </c>
      <c r="E2177" s="12" t="s">
        <v>22</v>
      </c>
      <c r="F2177" s="10">
        <f>F2183</f>
        <v>0</v>
      </c>
      <c r="G2177" s="12" t="s">
        <v>22</v>
      </c>
      <c r="H2177" s="10">
        <f>H2183</f>
        <v>0</v>
      </c>
      <c r="I2177" s="28"/>
      <c r="J2177" s="28"/>
      <c r="K2177" s="22"/>
    </row>
    <row r="2178" spans="1:11" s="4" customFormat="1" x14ac:dyDescent="0.25">
      <c r="A2178" s="30"/>
      <c r="B2178" s="31"/>
      <c r="C2178" s="12" t="s">
        <v>23</v>
      </c>
      <c r="D2178" s="10">
        <f t="shared" ref="D2178:D2180" si="119">D2184</f>
        <v>0</v>
      </c>
      <c r="E2178" s="12" t="s">
        <v>23</v>
      </c>
      <c r="F2178" s="10">
        <f t="shared" ref="F2178:H2180" si="120">F2184</f>
        <v>0</v>
      </c>
      <c r="G2178" s="12" t="s">
        <v>23</v>
      </c>
      <c r="H2178" s="10">
        <f t="shared" si="120"/>
        <v>0</v>
      </c>
      <c r="I2178" s="28"/>
      <c r="J2178" s="28"/>
      <c r="K2178" s="22"/>
    </row>
    <row r="2179" spans="1:11" s="4" customFormat="1" x14ac:dyDescent="0.25">
      <c r="A2179" s="30"/>
      <c r="B2179" s="31"/>
      <c r="C2179" s="12" t="s">
        <v>24</v>
      </c>
      <c r="D2179" s="10">
        <f t="shared" si="119"/>
        <v>549.1</v>
      </c>
      <c r="E2179" s="12" t="s">
        <v>24</v>
      </c>
      <c r="F2179" s="10">
        <f t="shared" si="120"/>
        <v>510.2</v>
      </c>
      <c r="G2179" s="12" t="s">
        <v>24</v>
      </c>
      <c r="H2179" s="10">
        <f t="shared" si="120"/>
        <v>560.20000000000005</v>
      </c>
      <c r="I2179" s="28"/>
      <c r="J2179" s="28"/>
      <c r="K2179" s="22"/>
    </row>
    <row r="2180" spans="1:11" s="4" customFormat="1" x14ac:dyDescent="0.25">
      <c r="A2180" s="30"/>
      <c r="B2180" s="31"/>
      <c r="C2180" s="12" t="s">
        <v>25</v>
      </c>
      <c r="D2180" s="10">
        <f t="shared" si="119"/>
        <v>0</v>
      </c>
      <c r="E2180" s="12" t="s">
        <v>25</v>
      </c>
      <c r="F2180" s="10">
        <f t="shared" si="120"/>
        <v>0</v>
      </c>
      <c r="G2180" s="12" t="s">
        <v>25</v>
      </c>
      <c r="H2180" s="10">
        <f t="shared" si="120"/>
        <v>0</v>
      </c>
      <c r="I2180" s="29"/>
      <c r="J2180" s="28"/>
      <c r="K2180" s="22"/>
    </row>
    <row r="2181" spans="1:11" s="4" customFormat="1" x14ac:dyDescent="0.25">
      <c r="A2181" s="32" t="s">
        <v>720</v>
      </c>
      <c r="B2181" s="21" t="s">
        <v>721</v>
      </c>
      <c r="C2181" s="9" t="s">
        <v>28</v>
      </c>
      <c r="D2181" s="17">
        <f>D2183+D2184+D2185+D2186</f>
        <v>549.1</v>
      </c>
      <c r="E2181" s="9" t="s">
        <v>28</v>
      </c>
      <c r="F2181" s="17">
        <f>F2183+F2184+F2185+F2186</f>
        <v>510.2</v>
      </c>
      <c r="G2181" s="9" t="s">
        <v>28</v>
      </c>
      <c r="H2181" s="17">
        <f>H2183+H2184+H2185+H2186</f>
        <v>560.20000000000005</v>
      </c>
      <c r="I2181" s="27" t="s">
        <v>18</v>
      </c>
      <c r="J2181" s="28"/>
      <c r="K2181" s="22" t="s">
        <v>717</v>
      </c>
    </row>
    <row r="2182" spans="1:11" s="4" customFormat="1" x14ac:dyDescent="0.25">
      <c r="A2182" s="32"/>
      <c r="B2182" s="21"/>
      <c r="C2182" s="9" t="s">
        <v>21</v>
      </c>
      <c r="D2182" s="17"/>
      <c r="E2182" s="9" t="s">
        <v>21</v>
      </c>
      <c r="F2182" s="17"/>
      <c r="G2182" s="9" t="s">
        <v>21</v>
      </c>
      <c r="H2182" s="17"/>
      <c r="I2182" s="28"/>
      <c r="J2182" s="28"/>
      <c r="K2182" s="22"/>
    </row>
    <row r="2183" spans="1:11" s="4" customFormat="1" x14ac:dyDescent="0.25">
      <c r="A2183" s="32"/>
      <c r="B2183" s="21"/>
      <c r="C2183" s="12" t="s">
        <v>22</v>
      </c>
      <c r="D2183" s="17">
        <v>0</v>
      </c>
      <c r="E2183" s="12" t="s">
        <v>22</v>
      </c>
      <c r="F2183" s="17">
        <v>0</v>
      </c>
      <c r="G2183" s="12" t="s">
        <v>22</v>
      </c>
      <c r="H2183" s="17">
        <v>0</v>
      </c>
      <c r="I2183" s="28"/>
      <c r="J2183" s="28"/>
      <c r="K2183" s="22"/>
    </row>
    <row r="2184" spans="1:11" s="4" customFormat="1" x14ac:dyDescent="0.25">
      <c r="A2184" s="32"/>
      <c r="B2184" s="21"/>
      <c r="C2184" s="12" t="s">
        <v>23</v>
      </c>
      <c r="D2184" s="17">
        <v>0</v>
      </c>
      <c r="E2184" s="12" t="s">
        <v>23</v>
      </c>
      <c r="F2184" s="17">
        <v>0</v>
      </c>
      <c r="G2184" s="12" t="s">
        <v>23</v>
      </c>
      <c r="H2184" s="17">
        <v>0</v>
      </c>
      <c r="I2184" s="28"/>
      <c r="J2184" s="28"/>
      <c r="K2184" s="22"/>
    </row>
    <row r="2185" spans="1:11" s="4" customFormat="1" x14ac:dyDescent="0.25">
      <c r="A2185" s="32"/>
      <c r="B2185" s="21"/>
      <c r="C2185" s="12" t="s">
        <v>24</v>
      </c>
      <c r="D2185" s="17">
        <v>549.1</v>
      </c>
      <c r="E2185" s="12" t="s">
        <v>24</v>
      </c>
      <c r="F2185" s="17">
        <v>510.2</v>
      </c>
      <c r="G2185" s="12" t="s">
        <v>24</v>
      </c>
      <c r="H2185" s="17">
        <v>560.20000000000005</v>
      </c>
      <c r="I2185" s="28"/>
      <c r="J2185" s="28"/>
      <c r="K2185" s="22"/>
    </row>
    <row r="2186" spans="1:11" s="4" customFormat="1" x14ac:dyDescent="0.25">
      <c r="A2186" s="32"/>
      <c r="B2186" s="21"/>
      <c r="C2186" s="12" t="s">
        <v>25</v>
      </c>
      <c r="D2186" s="17">
        <v>0</v>
      </c>
      <c r="E2186" s="12" t="s">
        <v>25</v>
      </c>
      <c r="F2186" s="17">
        <v>0</v>
      </c>
      <c r="G2186" s="12" t="s">
        <v>25</v>
      </c>
      <c r="H2186" s="17">
        <v>0</v>
      </c>
      <c r="I2186" s="29"/>
      <c r="J2186" s="28"/>
      <c r="K2186" s="22"/>
    </row>
    <row r="2187" spans="1:11" s="4" customFormat="1" x14ac:dyDescent="0.25">
      <c r="A2187" s="30" t="s">
        <v>722</v>
      </c>
      <c r="B2187" s="31" t="s">
        <v>723</v>
      </c>
      <c r="C2187" s="9" t="s">
        <v>28</v>
      </c>
      <c r="D2187" s="10">
        <f>D2189+D2190+D2191+D2192</f>
        <v>11998.88</v>
      </c>
      <c r="E2187" s="9" t="s">
        <v>28</v>
      </c>
      <c r="F2187" s="10">
        <f>F2189+F2190+F2191+F2192</f>
        <v>12502</v>
      </c>
      <c r="G2187" s="9" t="s">
        <v>28</v>
      </c>
      <c r="H2187" s="10">
        <f>H2189+H2190+H2191+H2192</f>
        <v>12532</v>
      </c>
      <c r="I2187" s="27" t="s">
        <v>18</v>
      </c>
      <c r="J2187" s="28"/>
      <c r="K2187" s="22" t="s">
        <v>717</v>
      </c>
    </row>
    <row r="2188" spans="1:11" s="4" customFormat="1" x14ac:dyDescent="0.25">
      <c r="A2188" s="30"/>
      <c r="B2188" s="31"/>
      <c r="C2188" s="9" t="s">
        <v>21</v>
      </c>
      <c r="D2188" s="10"/>
      <c r="E2188" s="9" t="s">
        <v>21</v>
      </c>
      <c r="F2188" s="10"/>
      <c r="G2188" s="9" t="s">
        <v>21</v>
      </c>
      <c r="H2188" s="10"/>
      <c r="I2188" s="28"/>
      <c r="J2188" s="28"/>
      <c r="K2188" s="22"/>
    </row>
    <row r="2189" spans="1:11" s="4" customFormat="1" x14ac:dyDescent="0.25">
      <c r="A2189" s="30"/>
      <c r="B2189" s="31"/>
      <c r="C2189" s="12" t="s">
        <v>22</v>
      </c>
      <c r="D2189" s="10">
        <f>D2195+D2201</f>
        <v>0</v>
      </c>
      <c r="E2189" s="12" t="s">
        <v>22</v>
      </c>
      <c r="F2189" s="10">
        <f>F2195+F2201</f>
        <v>0</v>
      </c>
      <c r="G2189" s="12" t="s">
        <v>22</v>
      </c>
      <c r="H2189" s="10">
        <f>H2195+H2201</f>
        <v>0</v>
      </c>
      <c r="I2189" s="28"/>
      <c r="J2189" s="28"/>
      <c r="K2189" s="22"/>
    </row>
    <row r="2190" spans="1:11" s="4" customFormat="1" x14ac:dyDescent="0.25">
      <c r="A2190" s="30"/>
      <c r="B2190" s="31"/>
      <c r="C2190" s="12" t="s">
        <v>23</v>
      </c>
      <c r="D2190" s="10">
        <f t="shared" ref="D2190:F2192" si="121">D2196+D2202</f>
        <v>11998.88</v>
      </c>
      <c r="E2190" s="12" t="s">
        <v>23</v>
      </c>
      <c r="F2190" s="10">
        <f t="shared" si="121"/>
        <v>12502</v>
      </c>
      <c r="G2190" s="12" t="s">
        <v>23</v>
      </c>
      <c r="H2190" s="10">
        <f t="shared" ref="H2190:H2192" si="122">H2196+H2202</f>
        <v>12532</v>
      </c>
      <c r="I2190" s="28"/>
      <c r="J2190" s="28"/>
      <c r="K2190" s="22"/>
    </row>
    <row r="2191" spans="1:11" s="4" customFormat="1" x14ac:dyDescent="0.25">
      <c r="A2191" s="30"/>
      <c r="B2191" s="31"/>
      <c r="C2191" s="12" t="s">
        <v>24</v>
      </c>
      <c r="D2191" s="10">
        <f t="shared" si="121"/>
        <v>0</v>
      </c>
      <c r="E2191" s="12" t="s">
        <v>24</v>
      </c>
      <c r="F2191" s="10">
        <f t="shared" si="121"/>
        <v>0</v>
      </c>
      <c r="G2191" s="12" t="s">
        <v>24</v>
      </c>
      <c r="H2191" s="10">
        <f t="shared" si="122"/>
        <v>0</v>
      </c>
      <c r="I2191" s="28"/>
      <c r="J2191" s="28"/>
      <c r="K2191" s="22"/>
    </row>
    <row r="2192" spans="1:11" s="4" customFormat="1" x14ac:dyDescent="0.25">
      <c r="A2192" s="30"/>
      <c r="B2192" s="31"/>
      <c r="C2192" s="12" t="s">
        <v>25</v>
      </c>
      <c r="D2192" s="10">
        <f t="shared" si="121"/>
        <v>0</v>
      </c>
      <c r="E2192" s="12" t="s">
        <v>25</v>
      </c>
      <c r="F2192" s="10">
        <f t="shared" si="121"/>
        <v>0</v>
      </c>
      <c r="G2192" s="12" t="s">
        <v>25</v>
      </c>
      <c r="H2192" s="10">
        <f t="shared" si="122"/>
        <v>0</v>
      </c>
      <c r="I2192" s="29"/>
      <c r="J2192" s="28"/>
      <c r="K2192" s="22"/>
    </row>
    <row r="2193" spans="1:11" s="4" customFormat="1" x14ac:dyDescent="0.25">
      <c r="A2193" s="32" t="s">
        <v>724</v>
      </c>
      <c r="B2193" s="31" t="s">
        <v>725</v>
      </c>
      <c r="C2193" s="9" t="s">
        <v>28</v>
      </c>
      <c r="D2193" s="17">
        <f>D2195+D2196+D2197+D2198</f>
        <v>11430</v>
      </c>
      <c r="E2193" s="9" t="s">
        <v>28</v>
      </c>
      <c r="F2193" s="17">
        <f>F2195+F2196+F2197+F2198</f>
        <v>11682</v>
      </c>
      <c r="G2193" s="9" t="s">
        <v>28</v>
      </c>
      <c r="H2193" s="17">
        <f>H2195+H2196+H2197+H2198</f>
        <v>11682</v>
      </c>
      <c r="I2193" s="27" t="s">
        <v>18</v>
      </c>
      <c r="J2193" s="28"/>
      <c r="K2193" s="22" t="s">
        <v>726</v>
      </c>
    </row>
    <row r="2194" spans="1:11" s="4" customFormat="1" x14ac:dyDescent="0.25">
      <c r="A2194" s="32"/>
      <c r="B2194" s="21"/>
      <c r="C2194" s="9" t="s">
        <v>21</v>
      </c>
      <c r="D2194" s="17"/>
      <c r="E2194" s="9" t="s">
        <v>21</v>
      </c>
      <c r="F2194" s="17"/>
      <c r="G2194" s="9" t="s">
        <v>21</v>
      </c>
      <c r="H2194" s="17"/>
      <c r="I2194" s="28"/>
      <c r="J2194" s="28"/>
      <c r="K2194" s="22"/>
    </row>
    <row r="2195" spans="1:11" s="4" customFormat="1" x14ac:dyDescent="0.25">
      <c r="A2195" s="32"/>
      <c r="B2195" s="21"/>
      <c r="C2195" s="12" t="s">
        <v>22</v>
      </c>
      <c r="D2195" s="17">
        <v>0</v>
      </c>
      <c r="E2195" s="12" t="s">
        <v>22</v>
      </c>
      <c r="F2195" s="17">
        <v>0</v>
      </c>
      <c r="G2195" s="12" t="s">
        <v>22</v>
      </c>
      <c r="H2195" s="17">
        <v>0</v>
      </c>
      <c r="I2195" s="28"/>
      <c r="J2195" s="28"/>
      <c r="K2195" s="22"/>
    </row>
    <row r="2196" spans="1:11" s="4" customFormat="1" x14ac:dyDescent="0.25">
      <c r="A2196" s="32"/>
      <c r="B2196" s="21"/>
      <c r="C2196" s="12" t="s">
        <v>23</v>
      </c>
      <c r="D2196" s="17">
        <f>11330+100</f>
        <v>11430</v>
      </c>
      <c r="E2196" s="12" t="s">
        <v>23</v>
      </c>
      <c r="F2196" s="17">
        <f>11582+100</f>
        <v>11682</v>
      </c>
      <c r="G2196" s="12" t="s">
        <v>23</v>
      </c>
      <c r="H2196" s="17">
        <f>11582+100</f>
        <v>11682</v>
      </c>
      <c r="I2196" s="28"/>
      <c r="J2196" s="28"/>
      <c r="K2196" s="22"/>
    </row>
    <row r="2197" spans="1:11" s="4" customFormat="1" x14ac:dyDescent="0.25">
      <c r="A2197" s="32"/>
      <c r="B2197" s="21"/>
      <c r="C2197" s="12" t="s">
        <v>24</v>
      </c>
      <c r="D2197" s="17">
        <v>0</v>
      </c>
      <c r="E2197" s="12" t="s">
        <v>24</v>
      </c>
      <c r="F2197" s="17">
        <v>0</v>
      </c>
      <c r="G2197" s="12" t="s">
        <v>24</v>
      </c>
      <c r="H2197" s="17">
        <v>0</v>
      </c>
      <c r="I2197" s="28"/>
      <c r="J2197" s="28"/>
      <c r="K2197" s="22"/>
    </row>
    <row r="2198" spans="1:11" s="4" customFormat="1" ht="32.25" customHeight="1" x14ac:dyDescent="0.25">
      <c r="A2198" s="32"/>
      <c r="B2198" s="21"/>
      <c r="C2198" s="12" t="s">
        <v>25</v>
      </c>
      <c r="D2198" s="17">
        <v>0</v>
      </c>
      <c r="E2198" s="12" t="s">
        <v>25</v>
      </c>
      <c r="F2198" s="17">
        <v>0</v>
      </c>
      <c r="G2198" s="12" t="s">
        <v>25</v>
      </c>
      <c r="H2198" s="17">
        <v>0</v>
      </c>
      <c r="I2198" s="29"/>
      <c r="J2198" s="28"/>
      <c r="K2198" s="22"/>
    </row>
    <row r="2199" spans="1:11" s="4" customFormat="1" x14ac:dyDescent="0.25">
      <c r="A2199" s="32" t="s">
        <v>727</v>
      </c>
      <c r="B2199" s="21" t="s">
        <v>728</v>
      </c>
      <c r="C2199" s="9" t="s">
        <v>28</v>
      </c>
      <c r="D2199" s="17">
        <f>D2201+D2202+D2203+D2204</f>
        <v>568.88</v>
      </c>
      <c r="E2199" s="9" t="s">
        <v>28</v>
      </c>
      <c r="F2199" s="17">
        <f>F2201+F2202+F2203+F2204</f>
        <v>820</v>
      </c>
      <c r="G2199" s="9" t="s">
        <v>28</v>
      </c>
      <c r="H2199" s="17">
        <f>H2201+H2202+H2203+H2204</f>
        <v>850</v>
      </c>
      <c r="I2199" s="27" t="s">
        <v>18</v>
      </c>
      <c r="J2199" s="28"/>
      <c r="K2199" s="22" t="s">
        <v>726</v>
      </c>
    </row>
    <row r="2200" spans="1:11" s="4" customFormat="1" x14ac:dyDescent="0.25">
      <c r="A2200" s="32"/>
      <c r="B2200" s="21"/>
      <c r="C2200" s="9" t="s">
        <v>21</v>
      </c>
      <c r="D2200" s="17"/>
      <c r="E2200" s="9" t="s">
        <v>21</v>
      </c>
      <c r="F2200" s="17"/>
      <c r="G2200" s="9" t="s">
        <v>21</v>
      </c>
      <c r="H2200" s="17"/>
      <c r="I2200" s="28"/>
      <c r="J2200" s="28"/>
      <c r="K2200" s="22"/>
    </row>
    <row r="2201" spans="1:11" s="4" customFormat="1" x14ac:dyDescent="0.25">
      <c r="A2201" s="32"/>
      <c r="B2201" s="21"/>
      <c r="C2201" s="12" t="s">
        <v>22</v>
      </c>
      <c r="D2201" s="17">
        <v>0</v>
      </c>
      <c r="E2201" s="12" t="s">
        <v>22</v>
      </c>
      <c r="F2201" s="17">
        <v>0</v>
      </c>
      <c r="G2201" s="12" t="s">
        <v>22</v>
      </c>
      <c r="H2201" s="17">
        <v>0</v>
      </c>
      <c r="I2201" s="28"/>
      <c r="J2201" s="28"/>
      <c r="K2201" s="22"/>
    </row>
    <row r="2202" spans="1:11" s="4" customFormat="1" x14ac:dyDescent="0.25">
      <c r="A2202" s="32"/>
      <c r="B2202" s="21"/>
      <c r="C2202" s="12" t="s">
        <v>23</v>
      </c>
      <c r="D2202" s="17">
        <v>568.88</v>
      </c>
      <c r="E2202" s="12" t="s">
        <v>23</v>
      </c>
      <c r="F2202" s="17">
        <v>820</v>
      </c>
      <c r="G2202" s="12" t="s">
        <v>23</v>
      </c>
      <c r="H2202" s="17">
        <v>850</v>
      </c>
      <c r="I2202" s="28"/>
      <c r="J2202" s="28"/>
      <c r="K2202" s="22"/>
    </row>
    <row r="2203" spans="1:11" s="4" customFormat="1" x14ac:dyDescent="0.25">
      <c r="A2203" s="32"/>
      <c r="B2203" s="21"/>
      <c r="C2203" s="12" t="s">
        <v>24</v>
      </c>
      <c r="D2203" s="17">
        <v>0</v>
      </c>
      <c r="E2203" s="12" t="s">
        <v>24</v>
      </c>
      <c r="F2203" s="17">
        <v>0</v>
      </c>
      <c r="G2203" s="12" t="s">
        <v>24</v>
      </c>
      <c r="H2203" s="17">
        <v>0</v>
      </c>
      <c r="I2203" s="28"/>
      <c r="J2203" s="28"/>
      <c r="K2203" s="22"/>
    </row>
    <row r="2204" spans="1:11" s="4" customFormat="1" x14ac:dyDescent="0.25">
      <c r="A2204" s="32"/>
      <c r="B2204" s="21"/>
      <c r="C2204" s="12" t="s">
        <v>25</v>
      </c>
      <c r="D2204" s="17">
        <v>0</v>
      </c>
      <c r="E2204" s="12" t="s">
        <v>25</v>
      </c>
      <c r="F2204" s="17">
        <v>0</v>
      </c>
      <c r="G2204" s="12" t="s">
        <v>25</v>
      </c>
      <c r="H2204" s="17">
        <v>0</v>
      </c>
      <c r="I2204" s="29"/>
      <c r="J2204" s="29"/>
      <c r="K2204" s="22"/>
    </row>
    <row r="2205" spans="1:11" s="4" customFormat="1" x14ac:dyDescent="0.25">
      <c r="A2205" s="24" t="s">
        <v>729</v>
      </c>
      <c r="B2205" s="25" t="s">
        <v>730</v>
      </c>
      <c r="C2205" s="13" t="s">
        <v>28</v>
      </c>
      <c r="D2205" s="14">
        <f>D2207+D2208+D2209+D2210</f>
        <v>0</v>
      </c>
      <c r="E2205" s="13" t="s">
        <v>28</v>
      </c>
      <c r="F2205" s="14">
        <f>F2207+F2208+F2209+F2210</f>
        <v>0</v>
      </c>
      <c r="G2205" s="13" t="s">
        <v>28</v>
      </c>
      <c r="H2205" s="14">
        <f>H2207+H2208+H2209+H2210</f>
        <v>0</v>
      </c>
      <c r="I2205" s="33" t="s">
        <v>451</v>
      </c>
      <c r="J2205" s="27" t="s">
        <v>731</v>
      </c>
      <c r="K2205" s="22" t="s">
        <v>732</v>
      </c>
    </row>
    <row r="2206" spans="1:11" s="4" customFormat="1" x14ac:dyDescent="0.25">
      <c r="A2206" s="24"/>
      <c r="B2206" s="25"/>
      <c r="C2206" s="13" t="s">
        <v>21</v>
      </c>
      <c r="D2206" s="14"/>
      <c r="E2206" s="13" t="s">
        <v>21</v>
      </c>
      <c r="F2206" s="14"/>
      <c r="G2206" s="13" t="s">
        <v>21</v>
      </c>
      <c r="H2206" s="14"/>
      <c r="I2206" s="34"/>
      <c r="J2206" s="28"/>
      <c r="K2206" s="22"/>
    </row>
    <row r="2207" spans="1:11" s="4" customFormat="1" x14ac:dyDescent="0.25">
      <c r="A2207" s="24"/>
      <c r="B2207" s="25"/>
      <c r="C2207" s="16" t="s">
        <v>22</v>
      </c>
      <c r="D2207" s="14">
        <f>D2213+D2219</f>
        <v>0</v>
      </c>
      <c r="E2207" s="16" t="s">
        <v>22</v>
      </c>
      <c r="F2207" s="14">
        <f>F2213+F2219</f>
        <v>0</v>
      </c>
      <c r="G2207" s="16" t="s">
        <v>22</v>
      </c>
      <c r="H2207" s="14">
        <f>H2213+H2219</f>
        <v>0</v>
      </c>
      <c r="I2207" s="34"/>
      <c r="J2207" s="28"/>
      <c r="K2207" s="22"/>
    </row>
    <row r="2208" spans="1:11" s="4" customFormat="1" x14ac:dyDescent="0.25">
      <c r="A2208" s="24"/>
      <c r="B2208" s="25"/>
      <c r="C2208" s="16" t="s">
        <v>23</v>
      </c>
      <c r="D2208" s="14">
        <f>D2214+D2220</f>
        <v>0</v>
      </c>
      <c r="E2208" s="16" t="s">
        <v>23</v>
      </c>
      <c r="F2208" s="14">
        <f>F2214+F2220</f>
        <v>0</v>
      </c>
      <c r="G2208" s="16" t="s">
        <v>23</v>
      </c>
      <c r="H2208" s="14">
        <f>H2214+H2220</f>
        <v>0</v>
      </c>
      <c r="I2208" s="34"/>
      <c r="J2208" s="28"/>
      <c r="K2208" s="22"/>
    </row>
    <row r="2209" spans="1:11" s="4" customFormat="1" x14ac:dyDescent="0.25">
      <c r="A2209" s="24"/>
      <c r="B2209" s="25"/>
      <c r="C2209" s="16" t="s">
        <v>24</v>
      </c>
      <c r="D2209" s="14">
        <f>D2215+D2221</f>
        <v>0</v>
      </c>
      <c r="E2209" s="16" t="s">
        <v>24</v>
      </c>
      <c r="F2209" s="14">
        <f>F2215+F2221</f>
        <v>0</v>
      </c>
      <c r="G2209" s="16" t="s">
        <v>24</v>
      </c>
      <c r="H2209" s="14">
        <f>H2215+H2221</f>
        <v>0</v>
      </c>
      <c r="I2209" s="34"/>
      <c r="J2209" s="28"/>
      <c r="K2209" s="22"/>
    </row>
    <row r="2210" spans="1:11" s="4" customFormat="1" x14ac:dyDescent="0.25">
      <c r="A2210" s="24"/>
      <c r="B2210" s="25"/>
      <c r="C2210" s="16" t="s">
        <v>25</v>
      </c>
      <c r="D2210" s="14">
        <f>D2216+D2222</f>
        <v>0</v>
      </c>
      <c r="E2210" s="16" t="s">
        <v>25</v>
      </c>
      <c r="F2210" s="14">
        <f>F2216+F2222</f>
        <v>0</v>
      </c>
      <c r="G2210" s="16" t="s">
        <v>25</v>
      </c>
      <c r="H2210" s="14">
        <f>H2216+H2222</f>
        <v>0</v>
      </c>
      <c r="I2210" s="35"/>
      <c r="J2210" s="28"/>
      <c r="K2210" s="22"/>
    </row>
    <row r="2211" spans="1:11" s="4" customFormat="1" hidden="1" x14ac:dyDescent="0.25">
      <c r="A2211" s="30" t="s">
        <v>733</v>
      </c>
      <c r="B2211" s="31" t="s">
        <v>734</v>
      </c>
      <c r="C2211" s="9" t="s">
        <v>28</v>
      </c>
      <c r="D2211" s="17">
        <f>D2213+D2214+D2215+D2216</f>
        <v>0</v>
      </c>
      <c r="E2211" s="9" t="s">
        <v>28</v>
      </c>
      <c r="F2211" s="17">
        <f>F2213+F2214+F2215+F2216</f>
        <v>0</v>
      </c>
      <c r="G2211" s="9" t="s">
        <v>28</v>
      </c>
      <c r="H2211" s="17">
        <f>H2213+H2214+H2215+H2216</f>
        <v>0</v>
      </c>
      <c r="I2211" s="27" t="s">
        <v>451</v>
      </c>
      <c r="J2211" s="28"/>
      <c r="K2211" s="22" t="s">
        <v>732</v>
      </c>
    </row>
    <row r="2212" spans="1:11" s="4" customFormat="1" hidden="1" x14ac:dyDescent="0.25">
      <c r="A2212" s="30"/>
      <c r="B2212" s="31"/>
      <c r="C2212" s="9" t="s">
        <v>21</v>
      </c>
      <c r="D2212" s="17"/>
      <c r="E2212" s="9" t="s">
        <v>21</v>
      </c>
      <c r="F2212" s="17"/>
      <c r="G2212" s="9" t="s">
        <v>21</v>
      </c>
      <c r="H2212" s="17"/>
      <c r="I2212" s="28"/>
      <c r="J2212" s="28"/>
      <c r="K2212" s="22"/>
    </row>
    <row r="2213" spans="1:11" s="4" customFormat="1" hidden="1" x14ac:dyDescent="0.25">
      <c r="A2213" s="30"/>
      <c r="B2213" s="31"/>
      <c r="C2213" s="12" t="s">
        <v>22</v>
      </c>
      <c r="D2213" s="17">
        <v>0</v>
      </c>
      <c r="E2213" s="12" t="s">
        <v>22</v>
      </c>
      <c r="F2213" s="17">
        <v>0</v>
      </c>
      <c r="G2213" s="12" t="s">
        <v>22</v>
      </c>
      <c r="H2213" s="17">
        <v>0</v>
      </c>
      <c r="I2213" s="28"/>
      <c r="J2213" s="28"/>
      <c r="K2213" s="22"/>
    </row>
    <row r="2214" spans="1:11" s="4" customFormat="1" hidden="1" x14ac:dyDescent="0.25">
      <c r="A2214" s="30"/>
      <c r="B2214" s="31"/>
      <c r="C2214" s="12" t="s">
        <v>23</v>
      </c>
      <c r="D2214" s="17">
        <v>0</v>
      </c>
      <c r="E2214" s="12" t="s">
        <v>23</v>
      </c>
      <c r="F2214" s="17">
        <v>0</v>
      </c>
      <c r="G2214" s="12" t="s">
        <v>23</v>
      </c>
      <c r="H2214" s="17">
        <v>0</v>
      </c>
      <c r="I2214" s="28"/>
      <c r="J2214" s="28"/>
      <c r="K2214" s="22"/>
    </row>
    <row r="2215" spans="1:11" s="4" customFormat="1" hidden="1" x14ac:dyDescent="0.25">
      <c r="A2215" s="30"/>
      <c r="B2215" s="31"/>
      <c r="C2215" s="12" t="s">
        <v>24</v>
      </c>
      <c r="D2215" s="17">
        <v>0</v>
      </c>
      <c r="E2215" s="12" t="s">
        <v>24</v>
      </c>
      <c r="F2215" s="17">
        <v>0</v>
      </c>
      <c r="G2215" s="12" t="s">
        <v>24</v>
      </c>
      <c r="H2215" s="17">
        <v>0</v>
      </c>
      <c r="I2215" s="28"/>
      <c r="J2215" s="28"/>
      <c r="K2215" s="22"/>
    </row>
    <row r="2216" spans="1:11" s="4" customFormat="1" hidden="1" x14ac:dyDescent="0.25">
      <c r="A2216" s="30"/>
      <c r="B2216" s="31"/>
      <c r="C2216" s="12" t="s">
        <v>25</v>
      </c>
      <c r="D2216" s="17">
        <v>0</v>
      </c>
      <c r="E2216" s="12" t="s">
        <v>25</v>
      </c>
      <c r="F2216" s="17">
        <v>0</v>
      </c>
      <c r="G2216" s="12" t="s">
        <v>25</v>
      </c>
      <c r="H2216" s="17">
        <v>0</v>
      </c>
      <c r="I2216" s="29"/>
      <c r="J2216" s="28"/>
      <c r="K2216" s="22"/>
    </row>
    <row r="2217" spans="1:11" s="4" customFormat="1" x14ac:dyDescent="0.25">
      <c r="A2217" s="30" t="s">
        <v>733</v>
      </c>
      <c r="B2217" s="31" t="s">
        <v>735</v>
      </c>
      <c r="C2217" s="9" t="s">
        <v>28</v>
      </c>
      <c r="D2217" s="10">
        <f>D2219+D2220+D2221+D2222</f>
        <v>0</v>
      </c>
      <c r="E2217" s="9" t="s">
        <v>28</v>
      </c>
      <c r="F2217" s="10">
        <f>F2219+F2220+F2221+F2222</f>
        <v>0</v>
      </c>
      <c r="G2217" s="9" t="s">
        <v>28</v>
      </c>
      <c r="H2217" s="10">
        <f>H2219+H2220+H2221+H2222</f>
        <v>0</v>
      </c>
      <c r="I2217" s="27" t="s">
        <v>451</v>
      </c>
      <c r="J2217" s="28"/>
      <c r="K2217" s="22" t="s">
        <v>732</v>
      </c>
    </row>
    <row r="2218" spans="1:11" s="4" customFormat="1" x14ac:dyDescent="0.25">
      <c r="A2218" s="30"/>
      <c r="B2218" s="31"/>
      <c r="C2218" s="9" t="s">
        <v>21</v>
      </c>
      <c r="D2218" s="10"/>
      <c r="E2218" s="9" t="s">
        <v>21</v>
      </c>
      <c r="F2218" s="10"/>
      <c r="G2218" s="9" t="s">
        <v>21</v>
      </c>
      <c r="H2218" s="10"/>
      <c r="I2218" s="28"/>
      <c r="J2218" s="28"/>
      <c r="K2218" s="22"/>
    </row>
    <row r="2219" spans="1:11" s="4" customFormat="1" x14ac:dyDescent="0.25">
      <c r="A2219" s="30"/>
      <c r="B2219" s="31"/>
      <c r="C2219" s="12" t="s">
        <v>22</v>
      </c>
      <c r="D2219" s="10">
        <f>D2225+D2231+D2237</f>
        <v>0</v>
      </c>
      <c r="E2219" s="12" t="s">
        <v>22</v>
      </c>
      <c r="F2219" s="10">
        <f>F2225+F2231+F2237</f>
        <v>0</v>
      </c>
      <c r="G2219" s="12" t="s">
        <v>22</v>
      </c>
      <c r="H2219" s="10">
        <f>H2225+H2231+H2237</f>
        <v>0</v>
      </c>
      <c r="I2219" s="28"/>
      <c r="J2219" s="28"/>
      <c r="K2219" s="22"/>
    </row>
    <row r="2220" spans="1:11" s="4" customFormat="1" x14ac:dyDescent="0.25">
      <c r="A2220" s="30"/>
      <c r="B2220" s="31"/>
      <c r="C2220" s="12" t="s">
        <v>23</v>
      </c>
      <c r="D2220" s="10">
        <f t="shared" ref="D2220:F2222" si="123">D2226+D2232+D2238</f>
        <v>0</v>
      </c>
      <c r="E2220" s="12" t="s">
        <v>23</v>
      </c>
      <c r="F2220" s="10">
        <f t="shared" si="123"/>
        <v>0</v>
      </c>
      <c r="G2220" s="12" t="s">
        <v>23</v>
      </c>
      <c r="H2220" s="10">
        <f t="shared" ref="H2220:H2222" si="124">H2226+H2232+H2238</f>
        <v>0</v>
      </c>
      <c r="I2220" s="28"/>
      <c r="J2220" s="28"/>
      <c r="K2220" s="22"/>
    </row>
    <row r="2221" spans="1:11" s="4" customFormat="1" x14ac:dyDescent="0.25">
      <c r="A2221" s="30"/>
      <c r="B2221" s="31"/>
      <c r="C2221" s="12" t="s">
        <v>24</v>
      </c>
      <c r="D2221" s="10">
        <f t="shared" si="123"/>
        <v>0</v>
      </c>
      <c r="E2221" s="12" t="s">
        <v>24</v>
      </c>
      <c r="F2221" s="10">
        <f>F2227+F2233+F2239</f>
        <v>0</v>
      </c>
      <c r="G2221" s="12" t="s">
        <v>24</v>
      </c>
      <c r="H2221" s="10">
        <f t="shared" si="124"/>
        <v>0</v>
      </c>
      <c r="I2221" s="28"/>
      <c r="J2221" s="28"/>
      <c r="K2221" s="22"/>
    </row>
    <row r="2222" spans="1:11" s="4" customFormat="1" x14ac:dyDescent="0.25">
      <c r="A2222" s="30"/>
      <c r="B2222" s="31"/>
      <c r="C2222" s="12" t="s">
        <v>25</v>
      </c>
      <c r="D2222" s="10">
        <f t="shared" si="123"/>
        <v>0</v>
      </c>
      <c r="E2222" s="12" t="s">
        <v>25</v>
      </c>
      <c r="F2222" s="10">
        <f t="shared" si="123"/>
        <v>0</v>
      </c>
      <c r="G2222" s="12" t="s">
        <v>25</v>
      </c>
      <c r="H2222" s="10">
        <f t="shared" si="124"/>
        <v>0</v>
      </c>
      <c r="I2222" s="29"/>
      <c r="J2222" s="28"/>
      <c r="K2222" s="22"/>
    </row>
    <row r="2223" spans="1:11" s="4" customFormat="1" x14ac:dyDescent="0.25">
      <c r="A2223" s="32" t="s">
        <v>736</v>
      </c>
      <c r="B2223" s="21" t="s">
        <v>737</v>
      </c>
      <c r="C2223" s="9" t="s">
        <v>28</v>
      </c>
      <c r="D2223" s="17">
        <f>D2225+D2226+D2227+D2228</f>
        <v>0</v>
      </c>
      <c r="E2223" s="9" t="s">
        <v>28</v>
      </c>
      <c r="F2223" s="17">
        <f>F2225+F2226+F2227+F2228</f>
        <v>0</v>
      </c>
      <c r="G2223" s="9" t="s">
        <v>28</v>
      </c>
      <c r="H2223" s="17">
        <f>H2225+H2226+H2227+H2228</f>
        <v>0</v>
      </c>
      <c r="I2223" s="27" t="s">
        <v>451</v>
      </c>
      <c r="J2223" s="28"/>
      <c r="K2223" s="22" t="s">
        <v>732</v>
      </c>
    </row>
    <row r="2224" spans="1:11" s="4" customFormat="1" x14ac:dyDescent="0.25">
      <c r="A2224" s="32"/>
      <c r="B2224" s="21"/>
      <c r="C2224" s="9" t="s">
        <v>21</v>
      </c>
      <c r="D2224" s="17"/>
      <c r="E2224" s="9" t="s">
        <v>21</v>
      </c>
      <c r="F2224" s="17"/>
      <c r="G2224" s="9" t="s">
        <v>21</v>
      </c>
      <c r="H2224" s="17"/>
      <c r="I2224" s="28"/>
      <c r="J2224" s="28"/>
      <c r="K2224" s="22"/>
    </row>
    <row r="2225" spans="1:11" s="4" customFormat="1" x14ac:dyDescent="0.25">
      <c r="A2225" s="32"/>
      <c r="B2225" s="21"/>
      <c r="C2225" s="12" t="s">
        <v>22</v>
      </c>
      <c r="D2225" s="17">
        <v>0</v>
      </c>
      <c r="E2225" s="12" t="s">
        <v>22</v>
      </c>
      <c r="F2225" s="17">
        <v>0</v>
      </c>
      <c r="G2225" s="12" t="s">
        <v>22</v>
      </c>
      <c r="H2225" s="17">
        <v>0</v>
      </c>
      <c r="I2225" s="28"/>
      <c r="J2225" s="28"/>
      <c r="K2225" s="22"/>
    </row>
    <row r="2226" spans="1:11" s="4" customFormat="1" x14ac:dyDescent="0.25">
      <c r="A2226" s="32"/>
      <c r="B2226" s="21"/>
      <c r="C2226" s="12" t="s">
        <v>23</v>
      </c>
      <c r="D2226" s="17">
        <v>0</v>
      </c>
      <c r="E2226" s="12" t="s">
        <v>23</v>
      </c>
      <c r="F2226" s="17">
        <v>0</v>
      </c>
      <c r="G2226" s="12" t="s">
        <v>23</v>
      </c>
      <c r="H2226" s="17">
        <v>0</v>
      </c>
      <c r="I2226" s="28"/>
      <c r="J2226" s="28"/>
      <c r="K2226" s="22"/>
    </row>
    <row r="2227" spans="1:11" s="4" customFormat="1" x14ac:dyDescent="0.25">
      <c r="A2227" s="32"/>
      <c r="B2227" s="21"/>
      <c r="C2227" s="12" t="s">
        <v>24</v>
      </c>
      <c r="D2227" s="17">
        <v>0</v>
      </c>
      <c r="E2227" s="12" t="s">
        <v>24</v>
      </c>
      <c r="F2227" s="17">
        <v>0</v>
      </c>
      <c r="G2227" s="12" t="s">
        <v>24</v>
      </c>
      <c r="H2227" s="17">
        <v>0</v>
      </c>
      <c r="I2227" s="28"/>
      <c r="J2227" s="28"/>
      <c r="K2227" s="22"/>
    </row>
    <row r="2228" spans="1:11" s="4" customFormat="1" x14ac:dyDescent="0.25">
      <c r="A2228" s="32"/>
      <c r="B2228" s="21"/>
      <c r="C2228" s="12" t="s">
        <v>25</v>
      </c>
      <c r="D2228" s="17">
        <v>0</v>
      </c>
      <c r="E2228" s="12" t="s">
        <v>25</v>
      </c>
      <c r="F2228" s="17">
        <v>0</v>
      </c>
      <c r="G2228" s="12" t="s">
        <v>25</v>
      </c>
      <c r="H2228" s="17">
        <v>0</v>
      </c>
      <c r="I2228" s="29"/>
      <c r="J2228" s="28"/>
      <c r="K2228" s="22"/>
    </row>
    <row r="2229" spans="1:11" s="4" customFormat="1" x14ac:dyDescent="0.25">
      <c r="A2229" s="32" t="s">
        <v>738</v>
      </c>
      <c r="B2229" s="21" t="s">
        <v>739</v>
      </c>
      <c r="C2229" s="9" t="s">
        <v>28</v>
      </c>
      <c r="D2229" s="17">
        <f>D2231+D2232+D2233+D2234</f>
        <v>0</v>
      </c>
      <c r="E2229" s="9" t="s">
        <v>28</v>
      </c>
      <c r="F2229" s="17">
        <f>F2231+F2232+F2233+F2234</f>
        <v>0</v>
      </c>
      <c r="G2229" s="9" t="s">
        <v>28</v>
      </c>
      <c r="H2229" s="17">
        <f>H2231+H2232+H2233+H2234</f>
        <v>0</v>
      </c>
      <c r="I2229" s="27" t="s">
        <v>451</v>
      </c>
      <c r="J2229" s="28"/>
      <c r="K2229" s="22" t="s">
        <v>732</v>
      </c>
    </row>
    <row r="2230" spans="1:11" s="4" customFormat="1" x14ac:dyDescent="0.25">
      <c r="A2230" s="32"/>
      <c r="B2230" s="21"/>
      <c r="C2230" s="9" t="s">
        <v>21</v>
      </c>
      <c r="D2230" s="17"/>
      <c r="E2230" s="9" t="s">
        <v>21</v>
      </c>
      <c r="F2230" s="17"/>
      <c r="G2230" s="9" t="s">
        <v>21</v>
      </c>
      <c r="H2230" s="17"/>
      <c r="I2230" s="28"/>
      <c r="J2230" s="28"/>
      <c r="K2230" s="22"/>
    </row>
    <row r="2231" spans="1:11" s="4" customFormat="1" x14ac:dyDescent="0.25">
      <c r="A2231" s="32"/>
      <c r="B2231" s="21"/>
      <c r="C2231" s="12" t="s">
        <v>22</v>
      </c>
      <c r="D2231" s="17">
        <v>0</v>
      </c>
      <c r="E2231" s="12" t="s">
        <v>22</v>
      </c>
      <c r="F2231" s="17">
        <v>0</v>
      </c>
      <c r="G2231" s="12" t="s">
        <v>22</v>
      </c>
      <c r="H2231" s="17">
        <v>0</v>
      </c>
      <c r="I2231" s="28"/>
      <c r="J2231" s="28"/>
      <c r="K2231" s="22"/>
    </row>
    <row r="2232" spans="1:11" s="4" customFormat="1" x14ac:dyDescent="0.25">
      <c r="A2232" s="32"/>
      <c r="B2232" s="21"/>
      <c r="C2232" s="12" t="s">
        <v>23</v>
      </c>
      <c r="D2232" s="17">
        <v>0</v>
      </c>
      <c r="E2232" s="12" t="s">
        <v>23</v>
      </c>
      <c r="F2232" s="17">
        <v>0</v>
      </c>
      <c r="G2232" s="12" t="s">
        <v>23</v>
      </c>
      <c r="H2232" s="17">
        <v>0</v>
      </c>
      <c r="I2232" s="28"/>
      <c r="J2232" s="28"/>
      <c r="K2232" s="22"/>
    </row>
    <row r="2233" spans="1:11" s="4" customFormat="1" x14ac:dyDescent="0.25">
      <c r="A2233" s="32"/>
      <c r="B2233" s="21"/>
      <c r="C2233" s="12" t="s">
        <v>24</v>
      </c>
      <c r="D2233" s="17">
        <v>0</v>
      </c>
      <c r="E2233" s="12" t="s">
        <v>24</v>
      </c>
      <c r="F2233" s="17">
        <v>0</v>
      </c>
      <c r="G2233" s="12" t="s">
        <v>24</v>
      </c>
      <c r="H2233" s="17">
        <v>0</v>
      </c>
      <c r="I2233" s="28"/>
      <c r="J2233" s="28"/>
      <c r="K2233" s="22"/>
    </row>
    <row r="2234" spans="1:11" s="4" customFormat="1" x14ac:dyDescent="0.25">
      <c r="A2234" s="32"/>
      <c r="B2234" s="21"/>
      <c r="C2234" s="12" t="s">
        <v>25</v>
      </c>
      <c r="D2234" s="17">
        <v>0</v>
      </c>
      <c r="E2234" s="12" t="s">
        <v>25</v>
      </c>
      <c r="F2234" s="17">
        <v>0</v>
      </c>
      <c r="G2234" s="12" t="s">
        <v>25</v>
      </c>
      <c r="H2234" s="17">
        <v>0</v>
      </c>
      <c r="I2234" s="29"/>
      <c r="J2234" s="28"/>
      <c r="K2234" s="22"/>
    </row>
    <row r="2235" spans="1:11" s="4" customFormat="1" x14ac:dyDescent="0.25">
      <c r="A2235" s="32" t="s">
        <v>740</v>
      </c>
      <c r="B2235" s="21" t="s">
        <v>741</v>
      </c>
      <c r="C2235" s="9" t="s">
        <v>28</v>
      </c>
      <c r="D2235" s="17">
        <f>D2237+D2238+D2239+D2240</f>
        <v>0</v>
      </c>
      <c r="E2235" s="9" t="s">
        <v>28</v>
      </c>
      <c r="F2235" s="17">
        <f>F2237+F2238+F2239+F2240</f>
        <v>0</v>
      </c>
      <c r="G2235" s="9" t="s">
        <v>28</v>
      </c>
      <c r="H2235" s="17">
        <f>H2237+H2238+H2239+H2240</f>
        <v>0</v>
      </c>
      <c r="I2235" s="27" t="s">
        <v>742</v>
      </c>
      <c r="J2235" s="28"/>
      <c r="K2235" s="22" t="s">
        <v>732</v>
      </c>
    </row>
    <row r="2236" spans="1:11" s="4" customFormat="1" x14ac:dyDescent="0.25">
      <c r="A2236" s="32"/>
      <c r="B2236" s="21"/>
      <c r="C2236" s="9" t="s">
        <v>21</v>
      </c>
      <c r="D2236" s="17"/>
      <c r="E2236" s="9" t="s">
        <v>21</v>
      </c>
      <c r="F2236" s="17"/>
      <c r="G2236" s="9" t="s">
        <v>21</v>
      </c>
      <c r="H2236" s="17"/>
      <c r="I2236" s="28"/>
      <c r="J2236" s="28"/>
      <c r="K2236" s="22"/>
    </row>
    <row r="2237" spans="1:11" s="4" customFormat="1" x14ac:dyDescent="0.25">
      <c r="A2237" s="32"/>
      <c r="B2237" s="21"/>
      <c r="C2237" s="12" t="s">
        <v>22</v>
      </c>
      <c r="D2237" s="17">
        <v>0</v>
      </c>
      <c r="E2237" s="12" t="s">
        <v>22</v>
      </c>
      <c r="F2237" s="17">
        <v>0</v>
      </c>
      <c r="G2237" s="12" t="s">
        <v>22</v>
      </c>
      <c r="H2237" s="17">
        <v>0</v>
      </c>
      <c r="I2237" s="28"/>
      <c r="J2237" s="28"/>
      <c r="K2237" s="22"/>
    </row>
    <row r="2238" spans="1:11" s="4" customFormat="1" x14ac:dyDescent="0.25">
      <c r="A2238" s="32"/>
      <c r="B2238" s="21"/>
      <c r="C2238" s="12" t="s">
        <v>23</v>
      </c>
      <c r="D2238" s="17">
        <v>0</v>
      </c>
      <c r="E2238" s="12" t="s">
        <v>23</v>
      </c>
      <c r="F2238" s="17">
        <v>0</v>
      </c>
      <c r="G2238" s="12" t="s">
        <v>23</v>
      </c>
      <c r="H2238" s="17">
        <v>0</v>
      </c>
      <c r="I2238" s="28"/>
      <c r="J2238" s="28"/>
      <c r="K2238" s="22"/>
    </row>
    <row r="2239" spans="1:11" s="4" customFormat="1" x14ac:dyDescent="0.25">
      <c r="A2239" s="32"/>
      <c r="B2239" s="21"/>
      <c r="C2239" s="12" t="s">
        <v>24</v>
      </c>
      <c r="D2239" s="17">
        <v>0</v>
      </c>
      <c r="E2239" s="12" t="s">
        <v>24</v>
      </c>
      <c r="F2239" s="17">
        <v>0</v>
      </c>
      <c r="G2239" s="12" t="s">
        <v>24</v>
      </c>
      <c r="H2239" s="17">
        <v>0</v>
      </c>
      <c r="I2239" s="28"/>
      <c r="J2239" s="28"/>
      <c r="K2239" s="22"/>
    </row>
    <row r="2240" spans="1:11" s="4" customFormat="1" x14ac:dyDescent="0.25">
      <c r="A2240" s="32"/>
      <c r="B2240" s="21"/>
      <c r="C2240" s="12" t="s">
        <v>25</v>
      </c>
      <c r="D2240" s="17">
        <v>0</v>
      </c>
      <c r="E2240" s="12" t="s">
        <v>25</v>
      </c>
      <c r="F2240" s="17">
        <v>0</v>
      </c>
      <c r="G2240" s="12" t="s">
        <v>25</v>
      </c>
      <c r="H2240" s="17">
        <v>0</v>
      </c>
      <c r="I2240" s="29"/>
      <c r="J2240" s="29"/>
      <c r="K2240" s="22"/>
    </row>
    <row r="2241" spans="1:11" s="4" customFormat="1" x14ac:dyDescent="0.25">
      <c r="A2241" s="24" t="s">
        <v>743</v>
      </c>
      <c r="B2241" s="25" t="s">
        <v>744</v>
      </c>
      <c r="C2241" s="13" t="s">
        <v>28</v>
      </c>
      <c r="D2241" s="14">
        <f>D2243+D2244+D2245+D2246</f>
        <v>29952.27</v>
      </c>
      <c r="E2241" s="13" t="s">
        <v>28</v>
      </c>
      <c r="F2241" s="14">
        <f>F2243+F2244+F2245+F2246</f>
        <v>38372.21</v>
      </c>
      <c r="G2241" s="13" t="s">
        <v>28</v>
      </c>
      <c r="H2241" s="14">
        <f>H2243+H2244+H2245+H2246</f>
        <v>38372.21</v>
      </c>
      <c r="I2241" s="26" t="s">
        <v>18</v>
      </c>
      <c r="J2241" s="27" t="s">
        <v>745</v>
      </c>
      <c r="K2241" s="22" t="s">
        <v>746</v>
      </c>
    </row>
    <row r="2242" spans="1:11" s="4" customFormat="1" x14ac:dyDescent="0.25">
      <c r="A2242" s="24"/>
      <c r="B2242" s="25"/>
      <c r="C2242" s="13" t="s">
        <v>21</v>
      </c>
      <c r="D2242" s="14"/>
      <c r="E2242" s="13" t="s">
        <v>21</v>
      </c>
      <c r="F2242" s="14"/>
      <c r="G2242" s="13" t="s">
        <v>21</v>
      </c>
      <c r="H2242" s="14"/>
      <c r="I2242" s="26"/>
      <c r="J2242" s="28"/>
      <c r="K2242" s="22"/>
    </row>
    <row r="2243" spans="1:11" s="4" customFormat="1" x14ac:dyDescent="0.25">
      <c r="A2243" s="24"/>
      <c r="B2243" s="25"/>
      <c r="C2243" s="16" t="s">
        <v>22</v>
      </c>
      <c r="D2243" s="14">
        <f t="shared" ref="D2243:D2246" si="125">D2249</f>
        <v>0</v>
      </c>
      <c r="E2243" s="16" t="s">
        <v>22</v>
      </c>
      <c r="F2243" s="14">
        <f>F2249</f>
        <v>0</v>
      </c>
      <c r="G2243" s="16" t="s">
        <v>22</v>
      </c>
      <c r="H2243" s="14">
        <f>H2249</f>
        <v>0</v>
      </c>
      <c r="I2243" s="26"/>
      <c r="J2243" s="28"/>
      <c r="K2243" s="22"/>
    </row>
    <row r="2244" spans="1:11" s="4" customFormat="1" x14ac:dyDescent="0.25">
      <c r="A2244" s="24"/>
      <c r="B2244" s="25"/>
      <c r="C2244" s="16" t="s">
        <v>23</v>
      </c>
      <c r="D2244" s="14">
        <f t="shared" si="125"/>
        <v>0</v>
      </c>
      <c r="E2244" s="16" t="s">
        <v>23</v>
      </c>
      <c r="F2244" s="14">
        <f t="shared" ref="F2244:H2246" si="126">F2250</f>
        <v>0</v>
      </c>
      <c r="G2244" s="16" t="s">
        <v>23</v>
      </c>
      <c r="H2244" s="14">
        <f t="shared" si="126"/>
        <v>0</v>
      </c>
      <c r="I2244" s="26"/>
      <c r="J2244" s="28"/>
      <c r="K2244" s="22"/>
    </row>
    <row r="2245" spans="1:11" s="4" customFormat="1" x14ac:dyDescent="0.25">
      <c r="A2245" s="24"/>
      <c r="B2245" s="25"/>
      <c r="C2245" s="16" t="s">
        <v>24</v>
      </c>
      <c r="D2245" s="14">
        <f t="shared" si="125"/>
        <v>29952.27</v>
      </c>
      <c r="E2245" s="16" t="s">
        <v>24</v>
      </c>
      <c r="F2245" s="14">
        <f t="shared" si="126"/>
        <v>38372.21</v>
      </c>
      <c r="G2245" s="16" t="s">
        <v>24</v>
      </c>
      <c r="H2245" s="14">
        <f t="shared" si="126"/>
        <v>38372.21</v>
      </c>
      <c r="I2245" s="26"/>
      <c r="J2245" s="28"/>
      <c r="K2245" s="22"/>
    </row>
    <row r="2246" spans="1:11" s="4" customFormat="1" x14ac:dyDescent="0.25">
      <c r="A2246" s="24"/>
      <c r="B2246" s="25"/>
      <c r="C2246" s="16" t="s">
        <v>25</v>
      </c>
      <c r="D2246" s="14">
        <f t="shared" si="125"/>
        <v>0</v>
      </c>
      <c r="E2246" s="16" t="s">
        <v>25</v>
      </c>
      <c r="F2246" s="14">
        <f t="shared" si="126"/>
        <v>0</v>
      </c>
      <c r="G2246" s="16" t="s">
        <v>25</v>
      </c>
      <c r="H2246" s="14">
        <f t="shared" si="126"/>
        <v>0</v>
      </c>
      <c r="I2246" s="26"/>
      <c r="J2246" s="28"/>
      <c r="K2246" s="22"/>
    </row>
    <row r="2247" spans="1:11" s="4" customFormat="1" x14ac:dyDescent="0.25">
      <c r="A2247" s="30" t="s">
        <v>747</v>
      </c>
      <c r="B2247" s="31" t="s">
        <v>748</v>
      </c>
      <c r="C2247" s="9" t="s">
        <v>28</v>
      </c>
      <c r="D2247" s="10">
        <f>D2249+D2250+D2251+D2252</f>
        <v>29952.27</v>
      </c>
      <c r="E2247" s="9" t="s">
        <v>28</v>
      </c>
      <c r="F2247" s="10">
        <f>F2249+F2250+F2251+F2252</f>
        <v>38372.21</v>
      </c>
      <c r="G2247" s="9" t="s">
        <v>28</v>
      </c>
      <c r="H2247" s="10">
        <f>H2249+H2250+H2251+H2252</f>
        <v>38372.21</v>
      </c>
      <c r="I2247" s="22" t="s">
        <v>18</v>
      </c>
      <c r="J2247" s="28"/>
      <c r="K2247" s="22" t="s">
        <v>746</v>
      </c>
    </row>
    <row r="2248" spans="1:11" s="4" customFormat="1" x14ac:dyDescent="0.25">
      <c r="A2248" s="30"/>
      <c r="B2248" s="31"/>
      <c r="C2248" s="9" t="s">
        <v>21</v>
      </c>
      <c r="D2248" s="10"/>
      <c r="E2248" s="9" t="s">
        <v>21</v>
      </c>
      <c r="F2248" s="10"/>
      <c r="G2248" s="9" t="s">
        <v>21</v>
      </c>
      <c r="H2248" s="10"/>
      <c r="I2248" s="22"/>
      <c r="J2248" s="28"/>
      <c r="K2248" s="22"/>
    </row>
    <row r="2249" spans="1:11" s="4" customFormat="1" x14ac:dyDescent="0.25">
      <c r="A2249" s="30"/>
      <c r="B2249" s="31"/>
      <c r="C2249" s="12" t="s">
        <v>22</v>
      </c>
      <c r="D2249" s="10">
        <f t="shared" ref="D2249:D2250" si="127">D2255</f>
        <v>0</v>
      </c>
      <c r="E2249" s="12" t="s">
        <v>22</v>
      </c>
      <c r="F2249" s="10">
        <f t="shared" ref="F2249:H2250" si="128">F2255</f>
        <v>0</v>
      </c>
      <c r="G2249" s="12" t="s">
        <v>22</v>
      </c>
      <c r="H2249" s="10">
        <f t="shared" si="128"/>
        <v>0</v>
      </c>
      <c r="I2249" s="22"/>
      <c r="J2249" s="28"/>
      <c r="K2249" s="22"/>
    </row>
    <row r="2250" spans="1:11" s="4" customFormat="1" x14ac:dyDescent="0.25">
      <c r="A2250" s="30"/>
      <c r="B2250" s="31"/>
      <c r="C2250" s="12" t="s">
        <v>23</v>
      </c>
      <c r="D2250" s="10">
        <f t="shared" si="127"/>
        <v>0</v>
      </c>
      <c r="E2250" s="12" t="s">
        <v>23</v>
      </c>
      <c r="F2250" s="10">
        <f t="shared" si="128"/>
        <v>0</v>
      </c>
      <c r="G2250" s="12" t="s">
        <v>23</v>
      </c>
      <c r="H2250" s="10">
        <f t="shared" si="128"/>
        <v>0</v>
      </c>
      <c r="I2250" s="22"/>
      <c r="J2250" s="28"/>
      <c r="K2250" s="22"/>
    </row>
    <row r="2251" spans="1:11" s="4" customFormat="1" x14ac:dyDescent="0.25">
      <c r="A2251" s="30"/>
      <c r="B2251" s="31"/>
      <c r="C2251" s="12" t="s">
        <v>24</v>
      </c>
      <c r="D2251" s="10">
        <f>D2257</f>
        <v>29952.27</v>
      </c>
      <c r="E2251" s="12" t="s">
        <v>24</v>
      </c>
      <c r="F2251" s="10">
        <f>F2257</f>
        <v>38372.21</v>
      </c>
      <c r="G2251" s="12" t="s">
        <v>24</v>
      </c>
      <c r="H2251" s="10">
        <f>H2257</f>
        <v>38372.21</v>
      </c>
      <c r="I2251" s="22"/>
      <c r="J2251" s="28"/>
      <c r="K2251" s="22"/>
    </row>
    <row r="2252" spans="1:11" s="4" customFormat="1" x14ac:dyDescent="0.25">
      <c r="A2252" s="30"/>
      <c r="B2252" s="31"/>
      <c r="C2252" s="12" t="s">
        <v>25</v>
      </c>
      <c r="D2252" s="10">
        <v>0</v>
      </c>
      <c r="E2252" s="12" t="s">
        <v>25</v>
      </c>
      <c r="F2252" s="10">
        <f>F2258</f>
        <v>0</v>
      </c>
      <c r="G2252" s="12" t="s">
        <v>25</v>
      </c>
      <c r="H2252" s="10">
        <f>H2258</f>
        <v>0</v>
      </c>
      <c r="I2252" s="22"/>
      <c r="J2252" s="28"/>
      <c r="K2252" s="22"/>
    </row>
    <row r="2253" spans="1:11" s="4" customFormat="1" x14ac:dyDescent="0.25">
      <c r="A2253" s="32" t="s">
        <v>749</v>
      </c>
      <c r="B2253" s="21" t="s">
        <v>750</v>
      </c>
      <c r="C2253" s="9" t="s">
        <v>28</v>
      </c>
      <c r="D2253" s="17">
        <f>D2255+D2256+D2257+D2258</f>
        <v>29952.27</v>
      </c>
      <c r="E2253" s="9" t="s">
        <v>28</v>
      </c>
      <c r="F2253" s="17">
        <f>F2255+F2256+F2257+F2258</f>
        <v>38372.21</v>
      </c>
      <c r="G2253" s="9" t="s">
        <v>28</v>
      </c>
      <c r="H2253" s="17">
        <f>H2255+H2256+H2257+H2258</f>
        <v>38372.21</v>
      </c>
      <c r="I2253" s="22" t="s">
        <v>18</v>
      </c>
      <c r="J2253" s="28"/>
      <c r="K2253" s="22" t="s">
        <v>746</v>
      </c>
    </row>
    <row r="2254" spans="1:11" s="4" customFormat="1" x14ac:dyDescent="0.25">
      <c r="A2254" s="32"/>
      <c r="B2254" s="21"/>
      <c r="C2254" s="9" t="s">
        <v>21</v>
      </c>
      <c r="D2254" s="17"/>
      <c r="E2254" s="9" t="s">
        <v>21</v>
      </c>
      <c r="F2254" s="17"/>
      <c r="G2254" s="9" t="s">
        <v>21</v>
      </c>
      <c r="H2254" s="17"/>
      <c r="I2254" s="22"/>
      <c r="J2254" s="28"/>
      <c r="K2254" s="22"/>
    </row>
    <row r="2255" spans="1:11" s="4" customFormat="1" x14ac:dyDescent="0.25">
      <c r="A2255" s="32"/>
      <c r="B2255" s="21"/>
      <c r="C2255" s="12" t="s">
        <v>22</v>
      </c>
      <c r="D2255" s="17">
        <v>0</v>
      </c>
      <c r="E2255" s="12" t="s">
        <v>22</v>
      </c>
      <c r="F2255" s="17">
        <v>0</v>
      </c>
      <c r="G2255" s="12" t="s">
        <v>22</v>
      </c>
      <c r="H2255" s="17">
        <v>0</v>
      </c>
      <c r="I2255" s="22"/>
      <c r="J2255" s="28"/>
      <c r="K2255" s="22"/>
    </row>
    <row r="2256" spans="1:11" s="4" customFormat="1" x14ac:dyDescent="0.25">
      <c r="A2256" s="32"/>
      <c r="B2256" s="21"/>
      <c r="C2256" s="12" t="s">
        <v>23</v>
      </c>
      <c r="D2256" s="17">
        <v>0</v>
      </c>
      <c r="E2256" s="12" t="s">
        <v>23</v>
      </c>
      <c r="F2256" s="17">
        <v>0</v>
      </c>
      <c r="G2256" s="12" t="s">
        <v>23</v>
      </c>
      <c r="H2256" s="17">
        <v>0</v>
      </c>
      <c r="I2256" s="22"/>
      <c r="J2256" s="28"/>
      <c r="K2256" s="22"/>
    </row>
    <row r="2257" spans="1:11" s="4" customFormat="1" x14ac:dyDescent="0.25">
      <c r="A2257" s="32"/>
      <c r="B2257" s="21"/>
      <c r="C2257" s="12" t="s">
        <v>24</v>
      </c>
      <c r="D2257" s="17">
        <v>29952.27</v>
      </c>
      <c r="E2257" s="12" t="s">
        <v>24</v>
      </c>
      <c r="F2257" s="17">
        <v>38372.21</v>
      </c>
      <c r="G2257" s="12" t="s">
        <v>24</v>
      </c>
      <c r="H2257" s="17">
        <v>38372.21</v>
      </c>
      <c r="I2257" s="22"/>
      <c r="J2257" s="28"/>
      <c r="K2257" s="22"/>
    </row>
    <row r="2258" spans="1:11" s="4" customFormat="1" x14ac:dyDescent="0.25">
      <c r="A2258" s="32"/>
      <c r="B2258" s="21"/>
      <c r="C2258" s="12" t="s">
        <v>25</v>
      </c>
      <c r="D2258" s="17">
        <v>0</v>
      </c>
      <c r="E2258" s="12" t="s">
        <v>25</v>
      </c>
      <c r="F2258" s="17">
        <v>0</v>
      </c>
      <c r="G2258" s="12" t="s">
        <v>25</v>
      </c>
      <c r="H2258" s="17">
        <v>0</v>
      </c>
      <c r="I2258" s="22"/>
      <c r="J2258" s="29"/>
      <c r="K2258" s="22"/>
    </row>
    <row r="2260" spans="1:11" s="4" customFormat="1" x14ac:dyDescent="0.25">
      <c r="A2260" s="23"/>
      <c r="B2260" s="23"/>
      <c r="C2260" s="5"/>
      <c r="D2260" s="5"/>
      <c r="E2260" s="5"/>
      <c r="F2260" s="5"/>
      <c r="G2260" s="5"/>
      <c r="H2260" s="5"/>
      <c r="I2260" s="2"/>
      <c r="J2260" s="19"/>
      <c r="K2260" s="2"/>
    </row>
    <row r="2261" spans="1:11" s="4" customFormat="1" x14ac:dyDescent="0.25">
      <c r="A2261" s="23" t="s">
        <v>751</v>
      </c>
      <c r="B2261" s="23"/>
      <c r="C2261" s="5"/>
      <c r="D2261" s="5"/>
      <c r="E2261" s="5"/>
      <c r="F2261" s="5"/>
      <c r="G2261" s="5"/>
      <c r="H2261" s="5"/>
      <c r="I2261" s="2"/>
      <c r="J2261" s="19"/>
      <c r="K2261" s="2"/>
    </row>
  </sheetData>
  <mergeCells count="1530">
    <mergeCell ref="D1:K1"/>
    <mergeCell ref="A2:K2"/>
    <mergeCell ref="A3:K3"/>
    <mergeCell ref="A4:K4"/>
    <mergeCell ref="A5:K5"/>
    <mergeCell ref="J6:K6"/>
    <mergeCell ref="A9:A14"/>
    <mergeCell ref="B9:B14"/>
    <mergeCell ref="I9:I14"/>
    <mergeCell ref="J9:J14"/>
    <mergeCell ref="K9:K14"/>
    <mergeCell ref="A15:A20"/>
    <mergeCell ref="B15:B20"/>
    <mergeCell ref="I15:I20"/>
    <mergeCell ref="J15:J62"/>
    <mergeCell ref="K15:K20"/>
    <mergeCell ref="A7:A8"/>
    <mergeCell ref="B7:B8"/>
    <mergeCell ref="C7:H7"/>
    <mergeCell ref="I7:I8"/>
    <mergeCell ref="J7:J8"/>
    <mergeCell ref="K7:K8"/>
    <mergeCell ref="C8:D8"/>
    <mergeCell ref="E8:F8"/>
    <mergeCell ref="G8:H8"/>
    <mergeCell ref="A45:A50"/>
    <mergeCell ref="B45:B50"/>
    <mergeCell ref="I45:I50"/>
    <mergeCell ref="K45:K50"/>
    <mergeCell ref="A51:A56"/>
    <mergeCell ref="B51:B56"/>
    <mergeCell ref="I51:I56"/>
    <mergeCell ref="K51:K56"/>
    <mergeCell ref="A33:A38"/>
    <mergeCell ref="B33:B38"/>
    <mergeCell ref="I33:I38"/>
    <mergeCell ref="K33:K38"/>
    <mergeCell ref="A39:A44"/>
    <mergeCell ref="B39:B44"/>
    <mergeCell ref="I39:I44"/>
    <mergeCell ref="K39:K44"/>
    <mergeCell ref="A21:A26"/>
    <mergeCell ref="B21:B26"/>
    <mergeCell ref="I21:I26"/>
    <mergeCell ref="K21:K26"/>
    <mergeCell ref="A27:A32"/>
    <mergeCell ref="B27:B32"/>
    <mergeCell ref="I27:I32"/>
    <mergeCell ref="K27:K32"/>
    <mergeCell ref="A81:A86"/>
    <mergeCell ref="B81:B86"/>
    <mergeCell ref="I81:I86"/>
    <mergeCell ref="K81:K86"/>
    <mergeCell ref="A87:A92"/>
    <mergeCell ref="B87:B92"/>
    <mergeCell ref="I87:I92"/>
    <mergeCell ref="K87:K92"/>
    <mergeCell ref="B69:B74"/>
    <mergeCell ref="I69:I74"/>
    <mergeCell ref="K69:K74"/>
    <mergeCell ref="A75:A80"/>
    <mergeCell ref="B75:B80"/>
    <mergeCell ref="I75:I80"/>
    <mergeCell ref="K75:K80"/>
    <mergeCell ref="A57:A62"/>
    <mergeCell ref="B57:B62"/>
    <mergeCell ref="I57:I62"/>
    <mergeCell ref="K57:K62"/>
    <mergeCell ref="A63:A68"/>
    <mergeCell ref="B63:B68"/>
    <mergeCell ref="I63:I68"/>
    <mergeCell ref="J63:J596"/>
    <mergeCell ref="K63:K68"/>
    <mergeCell ref="A69:A74"/>
    <mergeCell ref="A117:A122"/>
    <mergeCell ref="B117:B122"/>
    <mergeCell ref="I117:I122"/>
    <mergeCell ref="K117:K122"/>
    <mergeCell ref="A123:A128"/>
    <mergeCell ref="B123:B128"/>
    <mergeCell ref="I123:I128"/>
    <mergeCell ref="K123:K128"/>
    <mergeCell ref="A105:A110"/>
    <mergeCell ref="B105:B110"/>
    <mergeCell ref="I105:I110"/>
    <mergeCell ref="K105:K110"/>
    <mergeCell ref="A111:A116"/>
    <mergeCell ref="B111:B116"/>
    <mergeCell ref="I111:I116"/>
    <mergeCell ref="K111:K116"/>
    <mergeCell ref="A93:A98"/>
    <mergeCell ref="B93:B98"/>
    <mergeCell ref="I93:I98"/>
    <mergeCell ref="K93:K98"/>
    <mergeCell ref="A99:A104"/>
    <mergeCell ref="B99:B104"/>
    <mergeCell ref="I99:I104"/>
    <mergeCell ref="K99:K104"/>
    <mergeCell ref="A153:A158"/>
    <mergeCell ref="B153:B158"/>
    <mergeCell ref="I153:I158"/>
    <mergeCell ref="K153:K158"/>
    <mergeCell ref="A159:A164"/>
    <mergeCell ref="B159:B164"/>
    <mergeCell ref="I159:I164"/>
    <mergeCell ref="K159:K164"/>
    <mergeCell ref="A141:A146"/>
    <mergeCell ref="B141:B146"/>
    <mergeCell ref="I141:I146"/>
    <mergeCell ref="K141:K146"/>
    <mergeCell ref="A147:A152"/>
    <mergeCell ref="B147:B152"/>
    <mergeCell ref="I147:I152"/>
    <mergeCell ref="K147:K152"/>
    <mergeCell ref="A129:A134"/>
    <mergeCell ref="B129:B134"/>
    <mergeCell ref="I129:I134"/>
    <mergeCell ref="K129:K134"/>
    <mergeCell ref="A135:A140"/>
    <mergeCell ref="B135:B140"/>
    <mergeCell ref="I135:I140"/>
    <mergeCell ref="K135:K140"/>
    <mergeCell ref="A189:A194"/>
    <mergeCell ref="B189:B194"/>
    <mergeCell ref="I189:I194"/>
    <mergeCell ref="K189:K194"/>
    <mergeCell ref="A195:A200"/>
    <mergeCell ref="B195:B200"/>
    <mergeCell ref="I195:I200"/>
    <mergeCell ref="K195:K200"/>
    <mergeCell ref="A177:A182"/>
    <mergeCell ref="B177:B182"/>
    <mergeCell ref="I177:I182"/>
    <mergeCell ref="K177:K182"/>
    <mergeCell ref="A183:A188"/>
    <mergeCell ref="B183:B188"/>
    <mergeCell ref="I183:I188"/>
    <mergeCell ref="K183:K188"/>
    <mergeCell ref="A165:A170"/>
    <mergeCell ref="B165:B170"/>
    <mergeCell ref="I165:I170"/>
    <mergeCell ref="K165:K170"/>
    <mergeCell ref="A171:A176"/>
    <mergeCell ref="B171:B176"/>
    <mergeCell ref="I171:I176"/>
    <mergeCell ref="K171:K176"/>
    <mergeCell ref="A225:A230"/>
    <mergeCell ref="B225:B230"/>
    <mergeCell ref="I225:I230"/>
    <mergeCell ref="K225:K230"/>
    <mergeCell ref="A231:A236"/>
    <mergeCell ref="B231:B236"/>
    <mergeCell ref="I231:I236"/>
    <mergeCell ref="K231:K236"/>
    <mergeCell ref="A213:A218"/>
    <mergeCell ref="B213:B218"/>
    <mergeCell ref="I213:I218"/>
    <mergeCell ref="K213:K218"/>
    <mergeCell ref="A219:A224"/>
    <mergeCell ref="B219:B224"/>
    <mergeCell ref="I219:I224"/>
    <mergeCell ref="K219:K224"/>
    <mergeCell ref="A201:A206"/>
    <mergeCell ref="B201:B206"/>
    <mergeCell ref="I201:I206"/>
    <mergeCell ref="K201:K206"/>
    <mergeCell ref="A207:A212"/>
    <mergeCell ref="B207:B212"/>
    <mergeCell ref="I207:I212"/>
    <mergeCell ref="K207:K212"/>
    <mergeCell ref="A261:A266"/>
    <mergeCell ref="B261:B266"/>
    <mergeCell ref="I261:I266"/>
    <mergeCell ref="K261:K266"/>
    <mergeCell ref="A267:A272"/>
    <mergeCell ref="B267:B272"/>
    <mergeCell ref="I267:I272"/>
    <mergeCell ref="K267:K272"/>
    <mergeCell ref="A249:A254"/>
    <mergeCell ref="B249:B254"/>
    <mergeCell ref="I249:I254"/>
    <mergeCell ref="K249:K254"/>
    <mergeCell ref="A255:A260"/>
    <mergeCell ref="B255:B260"/>
    <mergeCell ref="I255:I260"/>
    <mergeCell ref="K255:K260"/>
    <mergeCell ref="A237:A242"/>
    <mergeCell ref="B237:B242"/>
    <mergeCell ref="I237:I242"/>
    <mergeCell ref="K237:K242"/>
    <mergeCell ref="A243:A248"/>
    <mergeCell ref="B243:B248"/>
    <mergeCell ref="I243:I248"/>
    <mergeCell ref="K243:K248"/>
    <mergeCell ref="A297:A302"/>
    <mergeCell ref="B297:B302"/>
    <mergeCell ref="I297:I302"/>
    <mergeCell ref="K297:K302"/>
    <mergeCell ref="A303:A308"/>
    <mergeCell ref="B303:B308"/>
    <mergeCell ref="I303:I308"/>
    <mergeCell ref="K303:K308"/>
    <mergeCell ref="A285:A290"/>
    <mergeCell ref="B285:B290"/>
    <mergeCell ref="I285:I290"/>
    <mergeCell ref="K285:K290"/>
    <mergeCell ref="A291:A296"/>
    <mergeCell ref="B291:B296"/>
    <mergeCell ref="I291:I296"/>
    <mergeCell ref="K291:K296"/>
    <mergeCell ref="A273:A278"/>
    <mergeCell ref="B273:B278"/>
    <mergeCell ref="I273:I278"/>
    <mergeCell ref="K273:K278"/>
    <mergeCell ref="A279:A284"/>
    <mergeCell ref="B279:B284"/>
    <mergeCell ref="I279:I284"/>
    <mergeCell ref="K279:K284"/>
    <mergeCell ref="A333:A338"/>
    <mergeCell ref="B333:B338"/>
    <mergeCell ref="I333:I338"/>
    <mergeCell ref="K333:K338"/>
    <mergeCell ref="A339:A344"/>
    <mergeCell ref="B339:B344"/>
    <mergeCell ref="I339:I344"/>
    <mergeCell ref="K339:K344"/>
    <mergeCell ref="A321:A326"/>
    <mergeCell ref="B321:B326"/>
    <mergeCell ref="I321:I326"/>
    <mergeCell ref="K321:K326"/>
    <mergeCell ref="A327:A332"/>
    <mergeCell ref="B327:B332"/>
    <mergeCell ref="I327:I332"/>
    <mergeCell ref="K327:K332"/>
    <mergeCell ref="A309:A314"/>
    <mergeCell ref="B309:B314"/>
    <mergeCell ref="I309:I314"/>
    <mergeCell ref="K309:K314"/>
    <mergeCell ref="A315:A320"/>
    <mergeCell ref="B315:B320"/>
    <mergeCell ref="I315:I320"/>
    <mergeCell ref="K315:K320"/>
    <mergeCell ref="A369:A374"/>
    <mergeCell ref="B369:B374"/>
    <mergeCell ref="I369:I374"/>
    <mergeCell ref="K369:K374"/>
    <mergeCell ref="A375:A380"/>
    <mergeCell ref="B375:B380"/>
    <mergeCell ref="I375:I380"/>
    <mergeCell ref="K375:K380"/>
    <mergeCell ref="A357:A362"/>
    <mergeCell ref="B357:B362"/>
    <mergeCell ref="I357:I362"/>
    <mergeCell ref="K357:K362"/>
    <mergeCell ref="A363:A368"/>
    <mergeCell ref="B363:B368"/>
    <mergeCell ref="I363:I368"/>
    <mergeCell ref="K363:K368"/>
    <mergeCell ref="A345:A350"/>
    <mergeCell ref="B345:B350"/>
    <mergeCell ref="I345:I350"/>
    <mergeCell ref="K345:K350"/>
    <mergeCell ref="A351:A356"/>
    <mergeCell ref="B351:B356"/>
    <mergeCell ref="I351:I356"/>
    <mergeCell ref="K351:K356"/>
    <mergeCell ref="A405:A410"/>
    <mergeCell ref="B405:B410"/>
    <mergeCell ref="I405:I410"/>
    <mergeCell ref="K405:K410"/>
    <mergeCell ref="A411:A416"/>
    <mergeCell ref="B411:B416"/>
    <mergeCell ref="I411:I416"/>
    <mergeCell ref="K411:K416"/>
    <mergeCell ref="A393:A398"/>
    <mergeCell ref="B393:B398"/>
    <mergeCell ref="I393:I398"/>
    <mergeCell ref="K393:K398"/>
    <mergeCell ref="A399:A404"/>
    <mergeCell ref="B399:B404"/>
    <mergeCell ref="I399:I404"/>
    <mergeCell ref="K399:K404"/>
    <mergeCell ref="A381:A386"/>
    <mergeCell ref="B381:B386"/>
    <mergeCell ref="I381:I386"/>
    <mergeCell ref="K381:K386"/>
    <mergeCell ref="A387:A392"/>
    <mergeCell ref="B387:B392"/>
    <mergeCell ref="I387:I392"/>
    <mergeCell ref="K387:K392"/>
    <mergeCell ref="A441:A446"/>
    <mergeCell ref="B441:B446"/>
    <mergeCell ref="I441:I446"/>
    <mergeCell ref="K441:K446"/>
    <mergeCell ref="A447:A452"/>
    <mergeCell ref="B447:B452"/>
    <mergeCell ref="I447:I452"/>
    <mergeCell ref="K447:K452"/>
    <mergeCell ref="A429:A434"/>
    <mergeCell ref="B429:B434"/>
    <mergeCell ref="I429:I434"/>
    <mergeCell ref="K429:K434"/>
    <mergeCell ref="A435:A440"/>
    <mergeCell ref="B435:B440"/>
    <mergeCell ref="I435:I440"/>
    <mergeCell ref="K435:K440"/>
    <mergeCell ref="A417:A422"/>
    <mergeCell ref="B417:B422"/>
    <mergeCell ref="I417:I422"/>
    <mergeCell ref="K417:K422"/>
    <mergeCell ref="A423:A428"/>
    <mergeCell ref="B423:B428"/>
    <mergeCell ref="I423:I428"/>
    <mergeCell ref="K423:K428"/>
    <mergeCell ref="A477:A482"/>
    <mergeCell ref="B477:B482"/>
    <mergeCell ref="I477:I482"/>
    <mergeCell ref="K477:K482"/>
    <mergeCell ref="A483:A488"/>
    <mergeCell ref="B483:B488"/>
    <mergeCell ref="I483:I488"/>
    <mergeCell ref="K483:K488"/>
    <mergeCell ref="A465:A470"/>
    <mergeCell ref="B465:B470"/>
    <mergeCell ref="I465:I470"/>
    <mergeCell ref="K465:K470"/>
    <mergeCell ref="A471:A476"/>
    <mergeCell ref="B471:B476"/>
    <mergeCell ref="I471:I476"/>
    <mergeCell ref="K471:K476"/>
    <mergeCell ref="A453:A458"/>
    <mergeCell ref="B453:B458"/>
    <mergeCell ref="I453:I458"/>
    <mergeCell ref="K453:K458"/>
    <mergeCell ref="A459:A464"/>
    <mergeCell ref="B459:B464"/>
    <mergeCell ref="I459:I464"/>
    <mergeCell ref="K459:K464"/>
    <mergeCell ref="A513:A518"/>
    <mergeCell ref="B513:B518"/>
    <mergeCell ref="I513:I518"/>
    <mergeCell ref="K513:K518"/>
    <mergeCell ref="A519:A524"/>
    <mergeCell ref="B519:B524"/>
    <mergeCell ref="I519:I524"/>
    <mergeCell ref="K519:K524"/>
    <mergeCell ref="A501:A506"/>
    <mergeCell ref="B501:B506"/>
    <mergeCell ref="I501:I506"/>
    <mergeCell ref="K501:K506"/>
    <mergeCell ref="A507:A512"/>
    <mergeCell ref="B507:B512"/>
    <mergeCell ref="I507:I512"/>
    <mergeCell ref="K507:K512"/>
    <mergeCell ref="A489:A494"/>
    <mergeCell ref="B489:B494"/>
    <mergeCell ref="I489:I494"/>
    <mergeCell ref="K489:K494"/>
    <mergeCell ref="A495:A500"/>
    <mergeCell ref="B495:B500"/>
    <mergeCell ref="I495:I500"/>
    <mergeCell ref="K495:K500"/>
    <mergeCell ref="A549:A554"/>
    <mergeCell ref="B549:B554"/>
    <mergeCell ref="I549:I554"/>
    <mergeCell ref="K549:K554"/>
    <mergeCell ref="A555:A560"/>
    <mergeCell ref="B555:B560"/>
    <mergeCell ref="I555:I560"/>
    <mergeCell ref="K555:K560"/>
    <mergeCell ref="A537:A542"/>
    <mergeCell ref="B537:B542"/>
    <mergeCell ref="I537:I542"/>
    <mergeCell ref="K537:K542"/>
    <mergeCell ref="A543:A548"/>
    <mergeCell ref="B543:B548"/>
    <mergeCell ref="I543:I548"/>
    <mergeCell ref="K543:K548"/>
    <mergeCell ref="A525:A530"/>
    <mergeCell ref="B525:B530"/>
    <mergeCell ref="I525:I530"/>
    <mergeCell ref="K525:K530"/>
    <mergeCell ref="A531:A536"/>
    <mergeCell ref="B531:B536"/>
    <mergeCell ref="I531:I536"/>
    <mergeCell ref="K531:K536"/>
    <mergeCell ref="A585:A590"/>
    <mergeCell ref="B585:B590"/>
    <mergeCell ref="I585:I590"/>
    <mergeCell ref="K585:K590"/>
    <mergeCell ref="A591:A596"/>
    <mergeCell ref="B591:B596"/>
    <mergeCell ref="I591:I596"/>
    <mergeCell ref="K591:K596"/>
    <mergeCell ref="A573:A578"/>
    <mergeCell ref="B573:B578"/>
    <mergeCell ref="I573:I578"/>
    <mergeCell ref="K573:K578"/>
    <mergeCell ref="A579:A584"/>
    <mergeCell ref="B579:B584"/>
    <mergeCell ref="I579:I584"/>
    <mergeCell ref="K579:K584"/>
    <mergeCell ref="A561:A566"/>
    <mergeCell ref="B561:B566"/>
    <mergeCell ref="I561:I566"/>
    <mergeCell ref="K561:K566"/>
    <mergeCell ref="A567:A572"/>
    <mergeCell ref="B567:B572"/>
    <mergeCell ref="I567:I572"/>
    <mergeCell ref="K567:K572"/>
    <mergeCell ref="A621:A626"/>
    <mergeCell ref="B621:B626"/>
    <mergeCell ref="I621:I626"/>
    <mergeCell ref="K621:K626"/>
    <mergeCell ref="A627:A632"/>
    <mergeCell ref="B627:B632"/>
    <mergeCell ref="I627:I632"/>
    <mergeCell ref="K627:K632"/>
    <mergeCell ref="B609:B614"/>
    <mergeCell ref="I609:I614"/>
    <mergeCell ref="K609:K614"/>
    <mergeCell ref="A615:A620"/>
    <mergeCell ref="B615:B620"/>
    <mergeCell ref="I615:I620"/>
    <mergeCell ref="K615:K620"/>
    <mergeCell ref="A597:A602"/>
    <mergeCell ref="B597:B602"/>
    <mergeCell ref="I597:I602"/>
    <mergeCell ref="J597:J656"/>
    <mergeCell ref="K597:K602"/>
    <mergeCell ref="A603:A608"/>
    <mergeCell ref="B603:B608"/>
    <mergeCell ref="I603:I608"/>
    <mergeCell ref="K603:K608"/>
    <mergeCell ref="A609:A614"/>
    <mergeCell ref="A657:A662"/>
    <mergeCell ref="B657:B662"/>
    <mergeCell ref="I657:I662"/>
    <mergeCell ref="K657:K662"/>
    <mergeCell ref="A663:A668"/>
    <mergeCell ref="B663:B668"/>
    <mergeCell ref="I663:I668"/>
    <mergeCell ref="K663:K668"/>
    <mergeCell ref="A645:A650"/>
    <mergeCell ref="B645:B650"/>
    <mergeCell ref="I645:I650"/>
    <mergeCell ref="K645:K650"/>
    <mergeCell ref="A651:A656"/>
    <mergeCell ref="B651:B656"/>
    <mergeCell ref="I651:I656"/>
    <mergeCell ref="K651:K656"/>
    <mergeCell ref="A633:A638"/>
    <mergeCell ref="B633:B638"/>
    <mergeCell ref="I633:I638"/>
    <mergeCell ref="K633:K638"/>
    <mergeCell ref="A639:A644"/>
    <mergeCell ref="B639:B644"/>
    <mergeCell ref="I639:I644"/>
    <mergeCell ref="K639:K644"/>
    <mergeCell ref="A681:A686"/>
    <mergeCell ref="B681:B686"/>
    <mergeCell ref="I681:I686"/>
    <mergeCell ref="J681:J1994"/>
    <mergeCell ref="K681:K686"/>
    <mergeCell ref="A687:A692"/>
    <mergeCell ref="B687:B692"/>
    <mergeCell ref="I687:I692"/>
    <mergeCell ref="K687:K692"/>
    <mergeCell ref="A693:A698"/>
    <mergeCell ref="A669:A674"/>
    <mergeCell ref="B669:B674"/>
    <mergeCell ref="I669:I674"/>
    <mergeCell ref="K669:K674"/>
    <mergeCell ref="A675:A680"/>
    <mergeCell ref="B675:B680"/>
    <mergeCell ref="I675:I680"/>
    <mergeCell ref="K675:K680"/>
    <mergeCell ref="A717:A722"/>
    <mergeCell ref="B717:B722"/>
    <mergeCell ref="I717:I722"/>
    <mergeCell ref="K717:K722"/>
    <mergeCell ref="A723:A728"/>
    <mergeCell ref="B723:B728"/>
    <mergeCell ref="I723:I728"/>
    <mergeCell ref="K723:K728"/>
    <mergeCell ref="A705:A710"/>
    <mergeCell ref="B705:B710"/>
    <mergeCell ref="I705:I710"/>
    <mergeCell ref="K705:K710"/>
    <mergeCell ref="A711:A716"/>
    <mergeCell ref="B711:B716"/>
    <mergeCell ref="I711:I716"/>
    <mergeCell ref="K711:K716"/>
    <mergeCell ref="B693:B698"/>
    <mergeCell ref="I693:I698"/>
    <mergeCell ref="K693:K698"/>
    <mergeCell ref="A699:A704"/>
    <mergeCell ref="B699:B704"/>
    <mergeCell ref="I699:I704"/>
    <mergeCell ref="K699:K704"/>
    <mergeCell ref="A753:A758"/>
    <mergeCell ref="B753:B758"/>
    <mergeCell ref="I753:I758"/>
    <mergeCell ref="K753:K758"/>
    <mergeCell ref="A759:A764"/>
    <mergeCell ref="B759:B764"/>
    <mergeCell ref="I759:I764"/>
    <mergeCell ref="K759:K764"/>
    <mergeCell ref="A741:A746"/>
    <mergeCell ref="B741:B746"/>
    <mergeCell ref="I741:I746"/>
    <mergeCell ref="K741:K746"/>
    <mergeCell ref="A747:A752"/>
    <mergeCell ref="B747:B752"/>
    <mergeCell ref="I747:I752"/>
    <mergeCell ref="K747:K752"/>
    <mergeCell ref="A729:A734"/>
    <mergeCell ref="B729:B734"/>
    <mergeCell ref="I729:I734"/>
    <mergeCell ref="K729:K734"/>
    <mergeCell ref="A735:A740"/>
    <mergeCell ref="B735:B740"/>
    <mergeCell ref="I735:I740"/>
    <mergeCell ref="K735:K740"/>
    <mergeCell ref="A789:A794"/>
    <mergeCell ref="B789:B794"/>
    <mergeCell ref="I789:I794"/>
    <mergeCell ref="K789:K794"/>
    <mergeCell ref="A795:A800"/>
    <mergeCell ref="B795:B800"/>
    <mergeCell ref="I795:I800"/>
    <mergeCell ref="K795:K800"/>
    <mergeCell ref="A777:A782"/>
    <mergeCell ref="B777:B782"/>
    <mergeCell ref="I777:I782"/>
    <mergeCell ref="K777:K782"/>
    <mergeCell ref="A783:A788"/>
    <mergeCell ref="B783:B788"/>
    <mergeCell ref="I783:I788"/>
    <mergeCell ref="K783:K788"/>
    <mergeCell ref="A765:A770"/>
    <mergeCell ref="B765:B770"/>
    <mergeCell ref="I765:I770"/>
    <mergeCell ref="K765:K770"/>
    <mergeCell ref="A771:A776"/>
    <mergeCell ref="B771:B776"/>
    <mergeCell ref="I771:I776"/>
    <mergeCell ref="K771:K776"/>
    <mergeCell ref="A825:A830"/>
    <mergeCell ref="B825:B830"/>
    <mergeCell ref="I825:I830"/>
    <mergeCell ref="K825:K830"/>
    <mergeCell ref="A831:A836"/>
    <mergeCell ref="B831:B836"/>
    <mergeCell ref="I831:I836"/>
    <mergeCell ref="K831:K836"/>
    <mergeCell ref="A813:A818"/>
    <mergeCell ref="B813:B818"/>
    <mergeCell ref="I813:I818"/>
    <mergeCell ref="K813:K818"/>
    <mergeCell ref="A819:A824"/>
    <mergeCell ref="B819:B824"/>
    <mergeCell ref="I819:I824"/>
    <mergeCell ref="K819:K824"/>
    <mergeCell ref="A801:A806"/>
    <mergeCell ref="B801:B806"/>
    <mergeCell ref="I801:I806"/>
    <mergeCell ref="K801:K806"/>
    <mergeCell ref="A807:A812"/>
    <mergeCell ref="B807:B812"/>
    <mergeCell ref="I807:I812"/>
    <mergeCell ref="K807:K812"/>
    <mergeCell ref="A861:A866"/>
    <mergeCell ref="B861:B866"/>
    <mergeCell ref="I861:I866"/>
    <mergeCell ref="K861:K866"/>
    <mergeCell ref="A867:A872"/>
    <mergeCell ref="B867:B872"/>
    <mergeCell ref="I867:I872"/>
    <mergeCell ref="K867:K872"/>
    <mergeCell ref="A849:A854"/>
    <mergeCell ref="B849:B854"/>
    <mergeCell ref="I849:I854"/>
    <mergeCell ref="K849:K854"/>
    <mergeCell ref="A855:A860"/>
    <mergeCell ref="B855:B860"/>
    <mergeCell ref="I855:I860"/>
    <mergeCell ref="K855:K860"/>
    <mergeCell ref="A837:A842"/>
    <mergeCell ref="B837:B842"/>
    <mergeCell ref="I837:I842"/>
    <mergeCell ref="K837:K842"/>
    <mergeCell ref="A843:A848"/>
    <mergeCell ref="B843:B848"/>
    <mergeCell ref="I843:I848"/>
    <mergeCell ref="K843:K848"/>
    <mergeCell ref="A897:A902"/>
    <mergeCell ref="B897:B902"/>
    <mergeCell ref="I897:I902"/>
    <mergeCell ref="K897:K902"/>
    <mergeCell ref="A903:A908"/>
    <mergeCell ref="B903:B908"/>
    <mergeCell ref="I903:I908"/>
    <mergeCell ref="K903:K908"/>
    <mergeCell ref="A885:A890"/>
    <mergeCell ref="B885:B890"/>
    <mergeCell ref="I885:I890"/>
    <mergeCell ref="K885:K890"/>
    <mergeCell ref="A891:A896"/>
    <mergeCell ref="B891:B896"/>
    <mergeCell ref="I891:I896"/>
    <mergeCell ref="K891:K896"/>
    <mergeCell ref="A873:A878"/>
    <mergeCell ref="B873:B878"/>
    <mergeCell ref="I873:I878"/>
    <mergeCell ref="K873:K878"/>
    <mergeCell ref="A879:A884"/>
    <mergeCell ref="B879:B884"/>
    <mergeCell ref="I879:I884"/>
    <mergeCell ref="K879:K884"/>
    <mergeCell ref="A933:A938"/>
    <mergeCell ref="B933:B938"/>
    <mergeCell ref="I933:I938"/>
    <mergeCell ref="K933:K938"/>
    <mergeCell ref="A939:A944"/>
    <mergeCell ref="B939:B944"/>
    <mergeCell ref="I939:I944"/>
    <mergeCell ref="K939:K944"/>
    <mergeCell ref="A921:A926"/>
    <mergeCell ref="B921:B926"/>
    <mergeCell ref="I921:I926"/>
    <mergeCell ref="K921:K926"/>
    <mergeCell ref="A927:A932"/>
    <mergeCell ref="B927:B932"/>
    <mergeCell ref="I927:I932"/>
    <mergeCell ref="K927:K932"/>
    <mergeCell ref="A909:A914"/>
    <mergeCell ref="B909:B914"/>
    <mergeCell ref="I909:I914"/>
    <mergeCell ref="K909:K914"/>
    <mergeCell ref="A915:A920"/>
    <mergeCell ref="B915:B920"/>
    <mergeCell ref="I915:I920"/>
    <mergeCell ref="K915:K920"/>
    <mergeCell ref="A969:A974"/>
    <mergeCell ref="B969:B974"/>
    <mergeCell ref="I969:I974"/>
    <mergeCell ref="K969:K974"/>
    <mergeCell ref="A975:A980"/>
    <mergeCell ref="B975:B980"/>
    <mergeCell ref="I975:I980"/>
    <mergeCell ref="K975:K980"/>
    <mergeCell ref="A957:A962"/>
    <mergeCell ref="B957:B962"/>
    <mergeCell ref="I957:I962"/>
    <mergeCell ref="K957:K962"/>
    <mergeCell ref="A963:A968"/>
    <mergeCell ref="B963:B968"/>
    <mergeCell ref="I963:I968"/>
    <mergeCell ref="K963:K968"/>
    <mergeCell ref="A945:A950"/>
    <mergeCell ref="B945:B950"/>
    <mergeCell ref="I945:I950"/>
    <mergeCell ref="K945:K950"/>
    <mergeCell ref="A951:A956"/>
    <mergeCell ref="B951:B956"/>
    <mergeCell ref="I951:I956"/>
    <mergeCell ref="K951:K956"/>
    <mergeCell ref="A1005:A1010"/>
    <mergeCell ref="B1005:B1010"/>
    <mergeCell ref="I1005:I1010"/>
    <mergeCell ref="K1005:K1010"/>
    <mergeCell ref="A1011:A1016"/>
    <mergeCell ref="B1011:B1016"/>
    <mergeCell ref="I1011:I1016"/>
    <mergeCell ref="K1011:K1016"/>
    <mergeCell ref="A993:A998"/>
    <mergeCell ref="B993:B998"/>
    <mergeCell ref="I993:I998"/>
    <mergeCell ref="K993:K998"/>
    <mergeCell ref="A999:A1004"/>
    <mergeCell ref="B999:B1004"/>
    <mergeCell ref="I999:I1004"/>
    <mergeCell ref="K999:K1004"/>
    <mergeCell ref="A981:A986"/>
    <mergeCell ref="B981:B986"/>
    <mergeCell ref="I981:I986"/>
    <mergeCell ref="K981:K986"/>
    <mergeCell ref="A987:A992"/>
    <mergeCell ref="B987:B992"/>
    <mergeCell ref="I987:I992"/>
    <mergeCell ref="K987:K992"/>
    <mergeCell ref="A1041:A1046"/>
    <mergeCell ref="B1041:B1046"/>
    <mergeCell ref="I1041:I1046"/>
    <mergeCell ref="K1041:K1046"/>
    <mergeCell ref="A1047:A1052"/>
    <mergeCell ref="B1047:B1052"/>
    <mergeCell ref="I1047:I1052"/>
    <mergeCell ref="K1047:K1052"/>
    <mergeCell ref="A1029:A1034"/>
    <mergeCell ref="B1029:B1034"/>
    <mergeCell ref="I1029:I1034"/>
    <mergeCell ref="K1029:K1034"/>
    <mergeCell ref="A1035:A1040"/>
    <mergeCell ref="B1035:B1040"/>
    <mergeCell ref="I1035:I1040"/>
    <mergeCell ref="K1035:K1040"/>
    <mergeCell ref="A1017:A1022"/>
    <mergeCell ref="B1017:B1022"/>
    <mergeCell ref="I1017:I1022"/>
    <mergeCell ref="K1017:K1022"/>
    <mergeCell ref="A1023:A1028"/>
    <mergeCell ref="B1023:B1028"/>
    <mergeCell ref="I1023:I1028"/>
    <mergeCell ref="K1023:K1028"/>
    <mergeCell ref="A1077:A1082"/>
    <mergeCell ref="B1077:B1082"/>
    <mergeCell ref="I1077:I1082"/>
    <mergeCell ref="K1077:K1082"/>
    <mergeCell ref="A1083:A1088"/>
    <mergeCell ref="B1083:B1088"/>
    <mergeCell ref="I1083:I1088"/>
    <mergeCell ref="K1083:K1088"/>
    <mergeCell ref="A1065:A1070"/>
    <mergeCell ref="B1065:B1070"/>
    <mergeCell ref="I1065:I1070"/>
    <mergeCell ref="K1065:K1070"/>
    <mergeCell ref="A1071:A1076"/>
    <mergeCell ref="B1071:B1076"/>
    <mergeCell ref="I1071:I1076"/>
    <mergeCell ref="K1071:K1076"/>
    <mergeCell ref="A1053:A1058"/>
    <mergeCell ref="B1053:B1058"/>
    <mergeCell ref="I1053:I1058"/>
    <mergeCell ref="K1053:K1058"/>
    <mergeCell ref="A1059:A1064"/>
    <mergeCell ref="B1059:B1064"/>
    <mergeCell ref="I1059:I1064"/>
    <mergeCell ref="K1059:K1064"/>
    <mergeCell ref="A1113:A1118"/>
    <mergeCell ref="B1113:B1118"/>
    <mergeCell ref="I1113:I1118"/>
    <mergeCell ref="K1113:K1118"/>
    <mergeCell ref="A1119:A1124"/>
    <mergeCell ref="B1119:B1124"/>
    <mergeCell ref="I1119:I1124"/>
    <mergeCell ref="K1119:K1124"/>
    <mergeCell ref="A1101:A1106"/>
    <mergeCell ref="B1101:B1106"/>
    <mergeCell ref="I1101:I1106"/>
    <mergeCell ref="K1101:K1106"/>
    <mergeCell ref="A1107:A1112"/>
    <mergeCell ref="B1107:B1112"/>
    <mergeCell ref="I1107:I1112"/>
    <mergeCell ref="K1107:K1112"/>
    <mergeCell ref="A1089:A1094"/>
    <mergeCell ref="B1089:B1094"/>
    <mergeCell ref="I1089:I1094"/>
    <mergeCell ref="K1089:K1094"/>
    <mergeCell ref="A1095:A1100"/>
    <mergeCell ref="B1095:B1100"/>
    <mergeCell ref="I1095:I1100"/>
    <mergeCell ref="K1095:K1100"/>
    <mergeCell ref="A1149:A1154"/>
    <mergeCell ref="B1149:B1154"/>
    <mergeCell ref="I1149:I1154"/>
    <mergeCell ref="K1149:K1154"/>
    <mergeCell ref="A1155:A1160"/>
    <mergeCell ref="B1155:B1160"/>
    <mergeCell ref="I1155:I1160"/>
    <mergeCell ref="K1155:K1160"/>
    <mergeCell ref="A1137:A1142"/>
    <mergeCell ref="B1137:B1142"/>
    <mergeCell ref="I1137:I1142"/>
    <mergeCell ref="K1137:K1142"/>
    <mergeCell ref="A1143:A1148"/>
    <mergeCell ref="B1143:B1148"/>
    <mergeCell ref="I1143:I1148"/>
    <mergeCell ref="K1143:K1148"/>
    <mergeCell ref="A1125:A1130"/>
    <mergeCell ref="B1125:B1130"/>
    <mergeCell ref="I1125:I1130"/>
    <mergeCell ref="K1125:K1130"/>
    <mergeCell ref="A1131:A1136"/>
    <mergeCell ref="B1131:B1136"/>
    <mergeCell ref="I1131:I1136"/>
    <mergeCell ref="K1131:K1136"/>
    <mergeCell ref="A1185:A1190"/>
    <mergeCell ref="B1185:B1190"/>
    <mergeCell ref="I1185:I1190"/>
    <mergeCell ref="K1185:K1190"/>
    <mergeCell ref="A1191:A1196"/>
    <mergeCell ref="B1191:B1196"/>
    <mergeCell ref="I1191:I1196"/>
    <mergeCell ref="K1191:K1196"/>
    <mergeCell ref="A1173:A1178"/>
    <mergeCell ref="B1173:B1178"/>
    <mergeCell ref="I1173:I1178"/>
    <mergeCell ref="K1173:K1178"/>
    <mergeCell ref="A1179:A1184"/>
    <mergeCell ref="B1179:B1184"/>
    <mergeCell ref="I1179:I1184"/>
    <mergeCell ref="K1179:K1184"/>
    <mergeCell ref="A1161:A1166"/>
    <mergeCell ref="B1161:B1166"/>
    <mergeCell ref="I1161:I1166"/>
    <mergeCell ref="K1161:K1166"/>
    <mergeCell ref="A1167:A1172"/>
    <mergeCell ref="B1167:B1172"/>
    <mergeCell ref="I1167:I1172"/>
    <mergeCell ref="K1167:K1172"/>
    <mergeCell ref="A1221:A1226"/>
    <mergeCell ref="B1221:B1226"/>
    <mergeCell ref="I1221:I1226"/>
    <mergeCell ref="K1221:K1226"/>
    <mergeCell ref="A1227:A1232"/>
    <mergeCell ref="B1227:B1232"/>
    <mergeCell ref="I1227:I1232"/>
    <mergeCell ref="K1227:K1232"/>
    <mergeCell ref="A1209:A1214"/>
    <mergeCell ref="B1209:B1214"/>
    <mergeCell ref="I1209:I1214"/>
    <mergeCell ref="K1209:K1214"/>
    <mergeCell ref="A1215:A1220"/>
    <mergeCell ref="B1215:B1220"/>
    <mergeCell ref="I1215:I1220"/>
    <mergeCell ref="K1215:K1220"/>
    <mergeCell ref="A1197:A1202"/>
    <mergeCell ref="B1197:B1202"/>
    <mergeCell ref="I1197:I1202"/>
    <mergeCell ref="K1197:K1202"/>
    <mergeCell ref="A1203:A1208"/>
    <mergeCell ref="B1203:B1208"/>
    <mergeCell ref="I1203:I1208"/>
    <mergeCell ref="K1203:K1208"/>
    <mergeCell ref="A1257:A1262"/>
    <mergeCell ref="B1257:B1262"/>
    <mergeCell ref="I1257:I1262"/>
    <mergeCell ref="K1257:K1262"/>
    <mergeCell ref="A1263:A1268"/>
    <mergeCell ref="B1263:B1268"/>
    <mergeCell ref="I1263:I1268"/>
    <mergeCell ref="K1263:K1268"/>
    <mergeCell ref="A1245:A1250"/>
    <mergeCell ref="B1245:B1250"/>
    <mergeCell ref="I1245:I1250"/>
    <mergeCell ref="K1245:K1250"/>
    <mergeCell ref="A1251:A1256"/>
    <mergeCell ref="B1251:B1256"/>
    <mergeCell ref="I1251:I1256"/>
    <mergeCell ref="K1251:K1256"/>
    <mergeCell ref="A1233:A1238"/>
    <mergeCell ref="B1233:B1238"/>
    <mergeCell ref="I1233:I1238"/>
    <mergeCell ref="K1233:K1238"/>
    <mergeCell ref="A1239:A1244"/>
    <mergeCell ref="B1239:B1244"/>
    <mergeCell ref="I1239:I1244"/>
    <mergeCell ref="K1239:K1244"/>
    <mergeCell ref="A1293:A1298"/>
    <mergeCell ref="B1293:B1298"/>
    <mergeCell ref="I1293:I1298"/>
    <mergeCell ref="K1293:K1298"/>
    <mergeCell ref="A1299:A1304"/>
    <mergeCell ref="B1299:B1304"/>
    <mergeCell ref="I1299:I1304"/>
    <mergeCell ref="K1299:K1304"/>
    <mergeCell ref="A1281:A1286"/>
    <mergeCell ref="B1281:B1286"/>
    <mergeCell ref="I1281:I1286"/>
    <mergeCell ref="K1281:K1286"/>
    <mergeCell ref="A1287:A1292"/>
    <mergeCell ref="B1287:B1292"/>
    <mergeCell ref="I1287:I1292"/>
    <mergeCell ref="K1287:K1292"/>
    <mergeCell ref="A1269:A1274"/>
    <mergeCell ref="B1269:B1274"/>
    <mergeCell ref="I1269:I1274"/>
    <mergeCell ref="K1269:K1274"/>
    <mergeCell ref="A1275:A1280"/>
    <mergeCell ref="B1275:B1280"/>
    <mergeCell ref="I1275:I1280"/>
    <mergeCell ref="K1275:K1280"/>
    <mergeCell ref="A1329:A1334"/>
    <mergeCell ref="B1329:B1334"/>
    <mergeCell ref="I1329:I1334"/>
    <mergeCell ref="K1329:K1334"/>
    <mergeCell ref="A1335:A1340"/>
    <mergeCell ref="B1335:B1340"/>
    <mergeCell ref="I1335:I1340"/>
    <mergeCell ref="K1335:K1340"/>
    <mergeCell ref="A1317:A1322"/>
    <mergeCell ref="B1317:B1322"/>
    <mergeCell ref="I1317:I1322"/>
    <mergeCell ref="K1317:K1322"/>
    <mergeCell ref="A1323:A1328"/>
    <mergeCell ref="B1323:B1328"/>
    <mergeCell ref="I1323:I1328"/>
    <mergeCell ref="K1323:K1328"/>
    <mergeCell ref="A1305:A1310"/>
    <mergeCell ref="B1305:B1310"/>
    <mergeCell ref="I1305:I1310"/>
    <mergeCell ref="K1305:K1310"/>
    <mergeCell ref="A1311:A1316"/>
    <mergeCell ref="B1311:B1316"/>
    <mergeCell ref="I1311:I1316"/>
    <mergeCell ref="K1311:K1316"/>
    <mergeCell ref="A1365:A1370"/>
    <mergeCell ref="B1365:B1370"/>
    <mergeCell ref="I1365:I1370"/>
    <mergeCell ref="K1365:K1370"/>
    <mergeCell ref="A1371:A1376"/>
    <mergeCell ref="B1371:B1376"/>
    <mergeCell ref="I1371:I1376"/>
    <mergeCell ref="K1371:K1376"/>
    <mergeCell ref="A1353:A1358"/>
    <mergeCell ref="B1353:B1358"/>
    <mergeCell ref="I1353:I1358"/>
    <mergeCell ref="K1353:K1358"/>
    <mergeCell ref="A1359:A1364"/>
    <mergeCell ref="B1359:B1364"/>
    <mergeCell ref="I1359:I1364"/>
    <mergeCell ref="K1359:K1364"/>
    <mergeCell ref="A1341:A1346"/>
    <mergeCell ref="B1341:B1346"/>
    <mergeCell ref="I1341:I1346"/>
    <mergeCell ref="K1341:K1346"/>
    <mergeCell ref="A1347:A1352"/>
    <mergeCell ref="B1347:B1352"/>
    <mergeCell ref="I1347:I1352"/>
    <mergeCell ref="K1347:K1352"/>
    <mergeCell ref="A1401:A1406"/>
    <mergeCell ref="B1401:B1406"/>
    <mergeCell ref="I1401:I1406"/>
    <mergeCell ref="K1401:K1406"/>
    <mergeCell ref="A1407:A1412"/>
    <mergeCell ref="B1407:B1412"/>
    <mergeCell ref="I1407:I1412"/>
    <mergeCell ref="K1407:K1412"/>
    <mergeCell ref="A1389:A1394"/>
    <mergeCell ref="B1389:B1394"/>
    <mergeCell ref="I1389:I1394"/>
    <mergeCell ref="K1389:K1394"/>
    <mergeCell ref="A1395:A1400"/>
    <mergeCell ref="B1395:B1400"/>
    <mergeCell ref="I1395:I1400"/>
    <mergeCell ref="K1395:K1400"/>
    <mergeCell ref="A1377:A1382"/>
    <mergeCell ref="B1377:B1382"/>
    <mergeCell ref="I1377:I1382"/>
    <mergeCell ref="K1377:K1382"/>
    <mergeCell ref="A1383:A1388"/>
    <mergeCell ref="B1383:B1388"/>
    <mergeCell ref="I1383:I1388"/>
    <mergeCell ref="K1383:K1388"/>
    <mergeCell ref="A1437:A1442"/>
    <mergeCell ref="B1437:B1442"/>
    <mergeCell ref="I1437:I1442"/>
    <mergeCell ref="K1437:K1442"/>
    <mergeCell ref="A1443:A1448"/>
    <mergeCell ref="B1443:B1448"/>
    <mergeCell ref="I1443:I1448"/>
    <mergeCell ref="K1443:K1448"/>
    <mergeCell ref="A1425:A1430"/>
    <mergeCell ref="B1425:B1430"/>
    <mergeCell ref="I1425:I1430"/>
    <mergeCell ref="K1425:K1430"/>
    <mergeCell ref="A1431:A1436"/>
    <mergeCell ref="B1431:B1436"/>
    <mergeCell ref="I1431:I1436"/>
    <mergeCell ref="K1431:K1436"/>
    <mergeCell ref="A1413:A1418"/>
    <mergeCell ref="B1413:B1418"/>
    <mergeCell ref="I1413:I1418"/>
    <mergeCell ref="K1413:K1418"/>
    <mergeCell ref="A1419:A1424"/>
    <mergeCell ref="B1419:B1424"/>
    <mergeCell ref="I1419:I1424"/>
    <mergeCell ref="K1419:K1424"/>
    <mergeCell ref="A1473:A1478"/>
    <mergeCell ref="B1473:B1478"/>
    <mergeCell ref="I1473:I1478"/>
    <mergeCell ref="K1473:K1478"/>
    <mergeCell ref="A1479:A1484"/>
    <mergeCell ref="B1479:B1484"/>
    <mergeCell ref="I1479:I1484"/>
    <mergeCell ref="K1479:K1484"/>
    <mergeCell ref="A1461:A1466"/>
    <mergeCell ref="B1461:B1466"/>
    <mergeCell ref="I1461:I1466"/>
    <mergeCell ref="K1461:K1466"/>
    <mergeCell ref="A1467:A1472"/>
    <mergeCell ref="B1467:B1472"/>
    <mergeCell ref="I1467:I1472"/>
    <mergeCell ref="K1467:K1472"/>
    <mergeCell ref="A1449:A1454"/>
    <mergeCell ref="B1449:B1454"/>
    <mergeCell ref="I1449:I1454"/>
    <mergeCell ref="K1449:K1454"/>
    <mergeCell ref="A1455:A1460"/>
    <mergeCell ref="B1455:B1460"/>
    <mergeCell ref="I1455:I1460"/>
    <mergeCell ref="K1455:K1460"/>
    <mergeCell ref="A1509:A1514"/>
    <mergeCell ref="B1509:B1514"/>
    <mergeCell ref="I1509:I1514"/>
    <mergeCell ref="K1509:K1514"/>
    <mergeCell ref="A1515:A1520"/>
    <mergeCell ref="B1515:B1520"/>
    <mergeCell ref="I1515:I1520"/>
    <mergeCell ref="K1515:K1520"/>
    <mergeCell ref="A1497:A1502"/>
    <mergeCell ref="B1497:B1502"/>
    <mergeCell ref="I1497:I1502"/>
    <mergeCell ref="K1497:K1502"/>
    <mergeCell ref="A1503:A1508"/>
    <mergeCell ref="B1503:B1508"/>
    <mergeCell ref="I1503:I1508"/>
    <mergeCell ref="K1503:K1508"/>
    <mergeCell ref="A1485:A1490"/>
    <mergeCell ref="B1485:B1490"/>
    <mergeCell ref="I1485:I1490"/>
    <mergeCell ref="K1485:K1490"/>
    <mergeCell ref="A1491:A1496"/>
    <mergeCell ref="B1491:B1496"/>
    <mergeCell ref="I1491:I1496"/>
    <mergeCell ref="K1491:K1496"/>
    <mergeCell ref="A1545:A1550"/>
    <mergeCell ref="B1545:B1550"/>
    <mergeCell ref="I1545:I1550"/>
    <mergeCell ref="K1545:K1550"/>
    <mergeCell ref="A1551:A1556"/>
    <mergeCell ref="B1551:B1556"/>
    <mergeCell ref="I1551:I1556"/>
    <mergeCell ref="K1551:K1556"/>
    <mergeCell ref="A1533:A1538"/>
    <mergeCell ref="B1533:B1538"/>
    <mergeCell ref="I1533:I1538"/>
    <mergeCell ref="K1533:K1538"/>
    <mergeCell ref="A1539:A1544"/>
    <mergeCell ref="B1539:B1544"/>
    <mergeCell ref="I1539:I1544"/>
    <mergeCell ref="K1539:K1544"/>
    <mergeCell ref="A1521:A1526"/>
    <mergeCell ref="B1521:B1526"/>
    <mergeCell ref="I1521:I1526"/>
    <mergeCell ref="K1521:K1526"/>
    <mergeCell ref="A1527:A1532"/>
    <mergeCell ref="B1527:B1532"/>
    <mergeCell ref="I1527:I1532"/>
    <mergeCell ref="K1527:K1532"/>
    <mergeCell ref="A1581:A1586"/>
    <mergeCell ref="B1581:B1586"/>
    <mergeCell ref="I1581:I1586"/>
    <mergeCell ref="K1581:K1586"/>
    <mergeCell ref="A1587:A1592"/>
    <mergeCell ref="B1587:B1592"/>
    <mergeCell ref="I1587:I1592"/>
    <mergeCell ref="K1587:K1592"/>
    <mergeCell ref="A1569:A1574"/>
    <mergeCell ref="B1569:B1574"/>
    <mergeCell ref="I1569:I1574"/>
    <mergeCell ref="K1569:K1574"/>
    <mergeCell ref="A1575:A1580"/>
    <mergeCell ref="B1575:B1580"/>
    <mergeCell ref="I1575:I1580"/>
    <mergeCell ref="K1575:K1580"/>
    <mergeCell ref="A1557:A1562"/>
    <mergeCell ref="B1557:B1562"/>
    <mergeCell ref="I1557:I1562"/>
    <mergeCell ref="K1557:K1562"/>
    <mergeCell ref="A1563:A1568"/>
    <mergeCell ref="B1563:B1568"/>
    <mergeCell ref="I1563:I1568"/>
    <mergeCell ref="K1563:K1568"/>
    <mergeCell ref="A1617:A1622"/>
    <mergeCell ref="B1617:B1622"/>
    <mergeCell ref="I1617:I1622"/>
    <mergeCell ref="K1617:K1622"/>
    <mergeCell ref="A1623:A1628"/>
    <mergeCell ref="B1623:B1628"/>
    <mergeCell ref="I1623:I1628"/>
    <mergeCell ref="K1623:K1628"/>
    <mergeCell ref="A1605:A1610"/>
    <mergeCell ref="B1605:B1610"/>
    <mergeCell ref="I1605:I1610"/>
    <mergeCell ref="K1605:K1610"/>
    <mergeCell ref="A1611:A1616"/>
    <mergeCell ref="B1611:B1616"/>
    <mergeCell ref="I1611:I1616"/>
    <mergeCell ref="K1611:K1616"/>
    <mergeCell ref="A1593:A1598"/>
    <mergeCell ref="B1593:B1598"/>
    <mergeCell ref="I1593:I1598"/>
    <mergeCell ref="K1593:K1598"/>
    <mergeCell ref="A1599:A1604"/>
    <mergeCell ref="B1599:B1604"/>
    <mergeCell ref="I1599:I1604"/>
    <mergeCell ref="K1599:K1604"/>
    <mergeCell ref="A1653:A1658"/>
    <mergeCell ref="B1653:B1658"/>
    <mergeCell ref="I1653:I1658"/>
    <mergeCell ref="K1653:K1658"/>
    <mergeCell ref="A1659:A1664"/>
    <mergeCell ref="B1659:B1664"/>
    <mergeCell ref="I1659:I1664"/>
    <mergeCell ref="K1659:K1664"/>
    <mergeCell ref="A1641:A1646"/>
    <mergeCell ref="B1641:B1646"/>
    <mergeCell ref="I1641:I1646"/>
    <mergeCell ref="K1641:K1646"/>
    <mergeCell ref="A1647:A1652"/>
    <mergeCell ref="B1647:B1652"/>
    <mergeCell ref="I1647:I1652"/>
    <mergeCell ref="K1647:K1652"/>
    <mergeCell ref="A1629:A1634"/>
    <mergeCell ref="B1629:B1634"/>
    <mergeCell ref="I1629:I1634"/>
    <mergeCell ref="K1629:K1634"/>
    <mergeCell ref="A1635:A1640"/>
    <mergeCell ref="B1635:B1640"/>
    <mergeCell ref="I1635:I1640"/>
    <mergeCell ref="K1635:K1640"/>
    <mergeCell ref="A1689:A1694"/>
    <mergeCell ref="B1689:B1694"/>
    <mergeCell ref="I1689:I1694"/>
    <mergeCell ref="K1689:K1694"/>
    <mergeCell ref="A1695:A1700"/>
    <mergeCell ref="B1695:B1700"/>
    <mergeCell ref="I1695:I1700"/>
    <mergeCell ref="K1695:K1700"/>
    <mergeCell ref="A1677:A1682"/>
    <mergeCell ref="B1677:B1682"/>
    <mergeCell ref="I1677:I1682"/>
    <mergeCell ref="K1677:K1682"/>
    <mergeCell ref="A1683:A1688"/>
    <mergeCell ref="B1683:B1688"/>
    <mergeCell ref="I1683:I1688"/>
    <mergeCell ref="K1683:K1688"/>
    <mergeCell ref="A1665:A1670"/>
    <mergeCell ref="B1665:B1670"/>
    <mergeCell ref="I1665:I1670"/>
    <mergeCell ref="K1665:K1670"/>
    <mergeCell ref="A1671:A1676"/>
    <mergeCell ref="B1671:B1676"/>
    <mergeCell ref="I1671:I1676"/>
    <mergeCell ref="K1671:K1676"/>
    <mergeCell ref="A1725:A1730"/>
    <mergeCell ref="B1725:B1730"/>
    <mergeCell ref="I1725:I1730"/>
    <mergeCell ref="K1725:K1730"/>
    <mergeCell ref="A1731:A1736"/>
    <mergeCell ref="B1731:B1736"/>
    <mergeCell ref="I1731:I1736"/>
    <mergeCell ref="K1731:K1736"/>
    <mergeCell ref="A1713:A1718"/>
    <mergeCell ref="B1713:B1718"/>
    <mergeCell ref="I1713:I1718"/>
    <mergeCell ref="K1713:K1718"/>
    <mergeCell ref="A1719:A1724"/>
    <mergeCell ref="B1719:B1724"/>
    <mergeCell ref="I1719:I1724"/>
    <mergeCell ref="K1719:K1724"/>
    <mergeCell ref="A1701:A1706"/>
    <mergeCell ref="B1701:B1706"/>
    <mergeCell ref="I1701:I1706"/>
    <mergeCell ref="K1701:K1706"/>
    <mergeCell ref="A1707:A1712"/>
    <mergeCell ref="B1707:B1712"/>
    <mergeCell ref="I1707:I1712"/>
    <mergeCell ref="K1707:K1712"/>
    <mergeCell ref="A1761:A1766"/>
    <mergeCell ref="B1761:B1766"/>
    <mergeCell ref="I1761:I1766"/>
    <mergeCell ref="K1761:K1766"/>
    <mergeCell ref="A1767:A1772"/>
    <mergeCell ref="B1767:B1772"/>
    <mergeCell ref="I1767:I1772"/>
    <mergeCell ref="K1767:K1772"/>
    <mergeCell ref="A1749:A1754"/>
    <mergeCell ref="B1749:B1754"/>
    <mergeCell ref="I1749:I1754"/>
    <mergeCell ref="K1749:K1754"/>
    <mergeCell ref="A1755:A1760"/>
    <mergeCell ref="B1755:B1760"/>
    <mergeCell ref="I1755:I1760"/>
    <mergeCell ref="K1755:K1760"/>
    <mergeCell ref="A1737:A1742"/>
    <mergeCell ref="B1737:B1742"/>
    <mergeCell ref="I1737:I1742"/>
    <mergeCell ref="K1737:K1742"/>
    <mergeCell ref="A1743:A1748"/>
    <mergeCell ref="B1743:B1748"/>
    <mergeCell ref="I1743:I1748"/>
    <mergeCell ref="K1743:K1748"/>
    <mergeCell ref="A1797:A1802"/>
    <mergeCell ref="B1797:B1802"/>
    <mergeCell ref="I1797:I1802"/>
    <mergeCell ref="K1797:K1802"/>
    <mergeCell ref="A1803:A1808"/>
    <mergeCell ref="B1803:B1808"/>
    <mergeCell ref="I1803:I1808"/>
    <mergeCell ref="K1803:K1808"/>
    <mergeCell ref="A1785:A1790"/>
    <mergeCell ref="B1785:B1790"/>
    <mergeCell ref="I1785:I1790"/>
    <mergeCell ref="K1785:K1790"/>
    <mergeCell ref="A1791:A1796"/>
    <mergeCell ref="B1791:B1796"/>
    <mergeCell ref="I1791:I1796"/>
    <mergeCell ref="K1791:K1796"/>
    <mergeCell ref="A1773:A1778"/>
    <mergeCell ref="B1773:B1778"/>
    <mergeCell ref="I1773:I1778"/>
    <mergeCell ref="K1773:K1778"/>
    <mergeCell ref="A1779:A1784"/>
    <mergeCell ref="B1779:B1784"/>
    <mergeCell ref="I1779:I1784"/>
    <mergeCell ref="K1779:K1784"/>
    <mergeCell ref="A1833:A1838"/>
    <mergeCell ref="B1833:B1838"/>
    <mergeCell ref="I1833:I1838"/>
    <mergeCell ref="K1833:K1838"/>
    <mergeCell ref="A1839:A1844"/>
    <mergeCell ref="B1839:B1844"/>
    <mergeCell ref="I1839:I1844"/>
    <mergeCell ref="K1839:K1844"/>
    <mergeCell ref="A1821:A1826"/>
    <mergeCell ref="B1821:B1826"/>
    <mergeCell ref="I1821:I1826"/>
    <mergeCell ref="K1821:K1826"/>
    <mergeCell ref="A1827:A1832"/>
    <mergeCell ref="B1827:B1832"/>
    <mergeCell ref="I1827:I1832"/>
    <mergeCell ref="K1827:K1832"/>
    <mergeCell ref="A1809:A1814"/>
    <mergeCell ref="B1809:B1814"/>
    <mergeCell ref="I1809:I1814"/>
    <mergeCell ref="K1809:K1814"/>
    <mergeCell ref="A1815:A1820"/>
    <mergeCell ref="B1815:B1820"/>
    <mergeCell ref="I1815:I1820"/>
    <mergeCell ref="K1815:K1820"/>
    <mergeCell ref="A1869:A1874"/>
    <mergeCell ref="B1869:B1874"/>
    <mergeCell ref="I1869:I1874"/>
    <mergeCell ref="K1869:K1874"/>
    <mergeCell ref="A1875:A1880"/>
    <mergeCell ref="B1875:B1880"/>
    <mergeCell ref="I1875:I1880"/>
    <mergeCell ref="K1875:K1880"/>
    <mergeCell ref="A1857:A1862"/>
    <mergeCell ref="B1857:B1862"/>
    <mergeCell ref="I1857:I1862"/>
    <mergeCell ref="K1857:K1862"/>
    <mergeCell ref="A1863:A1868"/>
    <mergeCell ref="B1863:B1868"/>
    <mergeCell ref="I1863:I1868"/>
    <mergeCell ref="K1863:K1868"/>
    <mergeCell ref="A1845:A1850"/>
    <mergeCell ref="B1845:B1850"/>
    <mergeCell ref="I1845:I1850"/>
    <mergeCell ref="K1845:K1850"/>
    <mergeCell ref="A1851:A1856"/>
    <mergeCell ref="B1851:B1856"/>
    <mergeCell ref="I1851:I1856"/>
    <mergeCell ref="K1851:K1856"/>
    <mergeCell ref="A1905:A1910"/>
    <mergeCell ref="B1905:B1910"/>
    <mergeCell ref="I1905:I1910"/>
    <mergeCell ref="K1905:K1910"/>
    <mergeCell ref="A1911:A1916"/>
    <mergeCell ref="B1911:B1916"/>
    <mergeCell ref="I1911:I1916"/>
    <mergeCell ref="K1911:K1916"/>
    <mergeCell ref="A1893:A1898"/>
    <mergeCell ref="B1893:B1898"/>
    <mergeCell ref="I1893:I1898"/>
    <mergeCell ref="K1893:K1898"/>
    <mergeCell ref="A1899:A1904"/>
    <mergeCell ref="B1899:B1904"/>
    <mergeCell ref="I1899:I1904"/>
    <mergeCell ref="K1899:K1904"/>
    <mergeCell ref="A1881:A1886"/>
    <mergeCell ref="B1881:B1886"/>
    <mergeCell ref="I1881:I1886"/>
    <mergeCell ref="K1881:K1886"/>
    <mergeCell ref="A1887:A1892"/>
    <mergeCell ref="B1887:B1892"/>
    <mergeCell ref="I1887:I1892"/>
    <mergeCell ref="K1887:K1892"/>
    <mergeCell ref="A1941:A1946"/>
    <mergeCell ref="B1941:B1946"/>
    <mergeCell ref="I1941:I1946"/>
    <mergeCell ref="K1941:K1946"/>
    <mergeCell ref="A1947:A1952"/>
    <mergeCell ref="B1947:B1952"/>
    <mergeCell ref="I1947:I1952"/>
    <mergeCell ref="K1947:K1952"/>
    <mergeCell ref="A1929:A1934"/>
    <mergeCell ref="B1929:B1934"/>
    <mergeCell ref="I1929:I1934"/>
    <mergeCell ref="K1929:K1934"/>
    <mergeCell ref="A1935:A1940"/>
    <mergeCell ref="B1935:B1940"/>
    <mergeCell ref="I1935:I1940"/>
    <mergeCell ref="K1935:K1940"/>
    <mergeCell ref="A1917:A1922"/>
    <mergeCell ref="B1917:B1922"/>
    <mergeCell ref="I1917:I1922"/>
    <mergeCell ref="K1917:K1922"/>
    <mergeCell ref="A1923:A1928"/>
    <mergeCell ref="B1923:B1928"/>
    <mergeCell ref="I1923:I1928"/>
    <mergeCell ref="K1923:K1928"/>
    <mergeCell ref="A1977:A1982"/>
    <mergeCell ref="B1977:B1982"/>
    <mergeCell ref="I1977:I1982"/>
    <mergeCell ref="K1977:K1982"/>
    <mergeCell ref="A1983:A1988"/>
    <mergeCell ref="B1983:B1988"/>
    <mergeCell ref="I1983:I1988"/>
    <mergeCell ref="K1983:K1988"/>
    <mergeCell ref="A1965:A1970"/>
    <mergeCell ref="B1965:B1970"/>
    <mergeCell ref="I1965:I1970"/>
    <mergeCell ref="K1965:K1970"/>
    <mergeCell ref="A1971:A1976"/>
    <mergeCell ref="B1971:B1976"/>
    <mergeCell ref="I1971:I1976"/>
    <mergeCell ref="K1971:K1976"/>
    <mergeCell ref="A1953:A1958"/>
    <mergeCell ref="B1953:B1958"/>
    <mergeCell ref="I1953:I1958"/>
    <mergeCell ref="K1953:K1958"/>
    <mergeCell ref="A1959:A1964"/>
    <mergeCell ref="B1959:B1964"/>
    <mergeCell ref="I1959:I1964"/>
    <mergeCell ref="K1959:K1964"/>
    <mergeCell ref="A2001:A2006"/>
    <mergeCell ref="B2001:B2006"/>
    <mergeCell ref="I2001:I2006"/>
    <mergeCell ref="J2001:J2006"/>
    <mergeCell ref="K2001:K2006"/>
    <mergeCell ref="A2007:A2012"/>
    <mergeCell ref="B2007:B2012"/>
    <mergeCell ref="I2007:I2012"/>
    <mergeCell ref="J2007:J2054"/>
    <mergeCell ref="K2007:K2012"/>
    <mergeCell ref="A1989:A1994"/>
    <mergeCell ref="B1989:B1994"/>
    <mergeCell ref="I1989:I1994"/>
    <mergeCell ref="K1989:K1994"/>
    <mergeCell ref="A1995:A2000"/>
    <mergeCell ref="B1995:B2000"/>
    <mergeCell ref="I1995:I2000"/>
    <mergeCell ref="J1995:J2000"/>
    <mergeCell ref="K1995:K2000"/>
    <mergeCell ref="A2037:A2042"/>
    <mergeCell ref="B2037:B2042"/>
    <mergeCell ref="I2037:I2042"/>
    <mergeCell ref="K2037:K2042"/>
    <mergeCell ref="A2043:A2048"/>
    <mergeCell ref="B2043:B2048"/>
    <mergeCell ref="I2043:I2048"/>
    <mergeCell ref="K2043:K2048"/>
    <mergeCell ref="A2025:A2030"/>
    <mergeCell ref="B2025:B2030"/>
    <mergeCell ref="I2025:I2030"/>
    <mergeCell ref="K2025:K2030"/>
    <mergeCell ref="A2031:A2036"/>
    <mergeCell ref="B2031:B2036"/>
    <mergeCell ref="I2031:I2036"/>
    <mergeCell ref="K2031:K2036"/>
    <mergeCell ref="A2013:A2018"/>
    <mergeCell ref="B2013:B2018"/>
    <mergeCell ref="I2013:I2018"/>
    <mergeCell ref="K2013:K2018"/>
    <mergeCell ref="A2019:A2024"/>
    <mergeCell ref="B2019:B2024"/>
    <mergeCell ref="I2019:I2024"/>
    <mergeCell ref="K2019:K2024"/>
    <mergeCell ref="B2061:B2066"/>
    <mergeCell ref="I2061:I2066"/>
    <mergeCell ref="K2061:K2066"/>
    <mergeCell ref="A2067:A2072"/>
    <mergeCell ref="B2067:B2072"/>
    <mergeCell ref="I2067:I2072"/>
    <mergeCell ref="K2067:K2072"/>
    <mergeCell ref="A2049:A2054"/>
    <mergeCell ref="B2049:B2054"/>
    <mergeCell ref="I2049:I2054"/>
    <mergeCell ref="K2049:K2054"/>
    <mergeCell ref="A2055:A2060"/>
    <mergeCell ref="B2055:B2060"/>
    <mergeCell ref="I2055:I2060"/>
    <mergeCell ref="J2055:J2108"/>
    <mergeCell ref="K2055:K2060"/>
    <mergeCell ref="A2061:A2066"/>
    <mergeCell ref="A2097:A2102"/>
    <mergeCell ref="B2097:B2102"/>
    <mergeCell ref="I2097:I2102"/>
    <mergeCell ref="K2097:K2102"/>
    <mergeCell ref="A2103:A2108"/>
    <mergeCell ref="B2103:B2108"/>
    <mergeCell ref="I2103:I2108"/>
    <mergeCell ref="K2103:K2108"/>
    <mergeCell ref="A2085:A2090"/>
    <mergeCell ref="B2085:B2090"/>
    <mergeCell ref="I2085:I2090"/>
    <mergeCell ref="K2085:K2090"/>
    <mergeCell ref="A2091:A2096"/>
    <mergeCell ref="B2091:B2096"/>
    <mergeCell ref="I2091:I2096"/>
    <mergeCell ref="K2091:K2096"/>
    <mergeCell ref="A2073:A2078"/>
    <mergeCell ref="B2073:B2078"/>
    <mergeCell ref="I2073:I2078"/>
    <mergeCell ref="K2073:K2078"/>
    <mergeCell ref="A2079:A2084"/>
    <mergeCell ref="B2079:B2084"/>
    <mergeCell ref="I2079:I2084"/>
    <mergeCell ref="K2079:K2084"/>
    <mergeCell ref="B2121:B2126"/>
    <mergeCell ref="I2121:I2126"/>
    <mergeCell ref="K2121:K2126"/>
    <mergeCell ref="A2127:A2132"/>
    <mergeCell ref="B2127:B2132"/>
    <mergeCell ref="I2127:I2132"/>
    <mergeCell ref="K2127:K2132"/>
    <mergeCell ref="A2109:A2114"/>
    <mergeCell ref="B2109:B2114"/>
    <mergeCell ref="I2109:I2114"/>
    <mergeCell ref="J2109:J2144"/>
    <mergeCell ref="K2109:K2114"/>
    <mergeCell ref="A2115:A2120"/>
    <mergeCell ref="B2115:B2120"/>
    <mergeCell ref="I2115:I2120"/>
    <mergeCell ref="K2115:K2120"/>
    <mergeCell ref="A2121:A2126"/>
    <mergeCell ref="A2157:A2162"/>
    <mergeCell ref="B2157:B2162"/>
    <mergeCell ref="I2157:I2162"/>
    <mergeCell ref="K2157:K2162"/>
    <mergeCell ref="A2163:A2168"/>
    <mergeCell ref="B2163:B2168"/>
    <mergeCell ref="I2163:I2168"/>
    <mergeCell ref="K2163:K2168"/>
    <mergeCell ref="A2145:A2150"/>
    <mergeCell ref="B2145:B2150"/>
    <mergeCell ref="I2145:I2150"/>
    <mergeCell ref="K2145:K2150"/>
    <mergeCell ref="A2151:A2156"/>
    <mergeCell ref="B2151:B2156"/>
    <mergeCell ref="I2151:I2156"/>
    <mergeCell ref="K2151:K2156"/>
    <mergeCell ref="A2133:A2138"/>
    <mergeCell ref="B2133:B2138"/>
    <mergeCell ref="I2133:I2138"/>
    <mergeCell ref="K2133:K2138"/>
    <mergeCell ref="A2139:A2144"/>
    <mergeCell ref="B2139:B2144"/>
    <mergeCell ref="I2139:I2144"/>
    <mergeCell ref="K2139:K2144"/>
    <mergeCell ref="A2193:A2198"/>
    <mergeCell ref="B2193:B2198"/>
    <mergeCell ref="I2193:I2198"/>
    <mergeCell ref="K2193:K2198"/>
    <mergeCell ref="A2199:A2204"/>
    <mergeCell ref="B2199:B2204"/>
    <mergeCell ref="I2199:I2204"/>
    <mergeCell ref="K2199:K2204"/>
    <mergeCell ref="B2181:B2186"/>
    <mergeCell ref="I2181:I2186"/>
    <mergeCell ref="K2181:K2186"/>
    <mergeCell ref="A2187:A2192"/>
    <mergeCell ref="B2187:B2192"/>
    <mergeCell ref="I2187:I2192"/>
    <mergeCell ref="K2187:K2192"/>
    <mergeCell ref="A2169:A2174"/>
    <mergeCell ref="B2169:B2174"/>
    <mergeCell ref="I2169:I2174"/>
    <mergeCell ref="J2169:J2204"/>
    <mergeCell ref="K2169:K2174"/>
    <mergeCell ref="A2175:A2180"/>
    <mergeCell ref="B2175:B2180"/>
    <mergeCell ref="I2175:I2180"/>
    <mergeCell ref="K2175:K2180"/>
    <mergeCell ref="A2181:A2186"/>
    <mergeCell ref="B2217:B2222"/>
    <mergeCell ref="I2217:I2222"/>
    <mergeCell ref="K2217:K2222"/>
    <mergeCell ref="A2223:A2228"/>
    <mergeCell ref="B2223:B2228"/>
    <mergeCell ref="I2223:I2228"/>
    <mergeCell ref="K2223:K2228"/>
    <mergeCell ref="A2205:A2210"/>
    <mergeCell ref="B2205:B2210"/>
    <mergeCell ref="I2205:I2210"/>
    <mergeCell ref="J2205:J2240"/>
    <mergeCell ref="K2205:K2210"/>
    <mergeCell ref="A2211:A2216"/>
    <mergeCell ref="B2211:B2216"/>
    <mergeCell ref="I2211:I2216"/>
    <mergeCell ref="K2211:K2216"/>
    <mergeCell ref="A2217:A2222"/>
    <mergeCell ref="B2253:B2258"/>
    <mergeCell ref="I2253:I2258"/>
    <mergeCell ref="K2253:K2258"/>
    <mergeCell ref="A2260:B2260"/>
    <mergeCell ref="A2261:B2261"/>
    <mergeCell ref="A2241:A2246"/>
    <mergeCell ref="B2241:B2246"/>
    <mergeCell ref="I2241:I2246"/>
    <mergeCell ref="J2241:J2258"/>
    <mergeCell ref="K2241:K2246"/>
    <mergeCell ref="A2247:A2252"/>
    <mergeCell ref="B2247:B2252"/>
    <mergeCell ref="I2247:I2252"/>
    <mergeCell ref="K2247:K2252"/>
    <mergeCell ref="A2253:A2258"/>
    <mergeCell ref="A2229:A2234"/>
    <mergeCell ref="B2229:B2234"/>
    <mergeCell ref="I2229:I2234"/>
    <mergeCell ref="K2229:K2234"/>
    <mergeCell ref="A2235:A2240"/>
    <mergeCell ref="B2235:B2240"/>
    <mergeCell ref="I2235:I2240"/>
    <mergeCell ref="K2235:K2240"/>
  </mergeCells>
  <printOptions horizontalCentered="1"/>
  <pageMargins left="0.59055118110236227" right="0.59055118110236227" top="1.1811023622047245" bottom="0.39370078740157483" header="0" footer="0"/>
  <pageSetup paperSize="9" scale="64" fitToHeight="0" orientation="landscape" r:id="rId1"/>
  <rowBreaks count="7" manualBreakCount="7">
    <brk id="26" max="10" man="1"/>
    <brk id="68" max="10" man="1"/>
    <brk id="638" max="10" man="1"/>
    <brk id="680" max="10" man="1"/>
    <brk id="722" max="10" man="1"/>
    <brk id="752" max="10" man="1"/>
    <brk id="224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декабрь</vt:lpstr>
      <vt:lpstr>декабрь!Заголовки_для_печати</vt:lpstr>
      <vt:lpstr>декабрь!Область_печати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dcterms:created xsi:type="dcterms:W3CDTF">2026-02-12T12:16:11Z</dcterms:created>
  <dcterms:modified xsi:type="dcterms:W3CDTF">2026-02-12T14:04:11Z</dcterms:modified>
</cp:coreProperties>
</file>